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1"/>
  </bookViews>
  <sheets>
    <sheet name="Datos Estudiantes" sheetId="4" r:id="rId1"/>
    <sheet name="Planilla Notas" sheetId="3" r:id="rId2"/>
    <sheet name="Informe estudiante" sheetId="5" r:id="rId3"/>
    <sheet name="ESQUEMA" sheetId="6" r:id="rId4"/>
  </sheets>
  <calcPr calcId="145621"/>
</workbook>
</file>

<file path=xl/calcChain.xml><?xml version="1.0" encoding="utf-8"?>
<calcChain xmlns="http://schemas.openxmlformats.org/spreadsheetml/2006/main">
  <c r="X37" i="3" l="1"/>
  <c r="X36" i="3"/>
  <c r="X35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14" i="3"/>
  <c r="V33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14" i="3"/>
  <c r="R33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14" i="3"/>
</calcChain>
</file>

<file path=xl/sharedStrings.xml><?xml version="1.0" encoding="utf-8"?>
<sst xmlns="http://schemas.openxmlformats.org/spreadsheetml/2006/main" count="65" uniqueCount="50">
  <si>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</si>
  <si>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</si>
  <si>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</si>
  <si>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</si>
  <si>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</si>
  <si>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</si>
  <si>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</si>
  <si>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</si>
  <si>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</si>
  <si>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</si>
  <si>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</si>
  <si>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</si>
  <si>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</si>
  <si>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</si>
  <si>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</si>
  <si>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</si>
  <si>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</si>
  <si>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</si>
  <si>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</si>
  <si>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</si>
  <si>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</si>
  <si>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</si>
  <si>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</si>
  <si>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</si>
  <si>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</si>
  <si>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</si>
  <si>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</si>
  <si>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</si>
  <si>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</si>
  <si>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</si>
  <si>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</si>
  <si>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</si>
  <si>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</si>
  <si>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</si>
  <si>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</si>
  <si>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MAX</t>
  </si>
  <si>
    <t>MIN</t>
  </si>
  <si>
    <t>Promedio</t>
  </si>
  <si>
    <t>codigo</t>
  </si>
  <si>
    <t>Nombre</t>
  </si>
  <si>
    <t>Seguimiento</t>
  </si>
  <si>
    <t>I parcial</t>
  </si>
  <si>
    <t>Examen final</t>
  </si>
  <si>
    <t>Coevaluacion</t>
  </si>
  <si>
    <t>Definitiva</t>
  </si>
  <si>
    <t>INFOMRE DE NOTAS</t>
  </si>
  <si>
    <t>W14</t>
  </si>
  <si>
    <t>Reprobo</t>
  </si>
  <si>
    <t>Aprobo</t>
  </si>
  <si>
    <t>X14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</si>
</sst>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9" fontId="4" fillId="0" borderId="0" xfId="0" applyNumberFormat="1" applyFont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/>
    <xf numFmtId="0" fontId="0" fillId="0" borderId="10" xfId="0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0" fontId="4" fillId="0" borderId="13" xfId="0" applyFont="1" applyBorder="1"/>
    <xf numFmtId="165" fontId="4" fillId="0" borderId="14" xfId="0" applyNumberFormat="1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center"/>
    </xf>
    <xf numFmtId="165" fontId="4" fillId="0" borderId="12" xfId="0" applyNumberFormat="1" applyFont="1" applyBorder="1" applyAlignment="1">
      <alignment horizontal="center"/>
    </xf>
    <xf numFmtId="165" fontId="4" fillId="0" borderId="17" xfId="0" applyNumberFormat="1" applyFont="1" applyBorder="1" applyAlignment="1">
      <alignment horizontal="center"/>
    </xf>
    <xf numFmtId="165" fontId="4" fillId="0" borderId="1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10885</xdr:colOff>
      <xdr:row>7</xdr:row>
      <xdr:rowOff>127907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1925410" cy="1528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191276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6295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361951</xdr:colOff>
      <xdr:row>0</xdr:row>
      <xdr:rowOff>0</xdr:rowOff>
    </xdr:from>
    <xdr:ext cx="3062967" cy="1642382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1" y="0"/>
          <a:ext cx="3062967" cy="164238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56402" cy="81642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85725</xdr:rowOff>
    </xdr:from>
    <xdr:to>
      <xdr:col>2</xdr:col>
      <xdr:colOff>828675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19050</xdr:rowOff>
    </xdr:from>
    <xdr:to>
      <xdr:col>8</xdr:col>
      <xdr:colOff>9526</xdr:colOff>
      <xdr:row>14</xdr:row>
      <xdr:rowOff>123825</xdr:rowOff>
    </xdr:to>
    <xdr:sp macro="" textlink="">
      <xdr:nvSpPr>
        <xdr:cNvPr id="2" name="Combinar 1"/>
        <xdr:cNvSpPr/>
      </xdr:nvSpPr>
      <xdr:spPr>
        <a:xfrm>
          <a:off x="1524000" y="790575"/>
          <a:ext cx="3819526" cy="1819275"/>
        </a:xfrm>
        <a:prstGeom prst="flowChartMerg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1">
              <a:solidFill>
                <a:schemeClr val="tx1"/>
              </a:solidFill>
            </a:rPr>
            <a:t>si </a:t>
          </a:r>
          <a:r>
            <a:rPr lang="es-CO" sz="1100" b="1" baseline="0">
              <a:solidFill>
                <a:schemeClr val="tx1"/>
              </a:solidFill>
            </a:rPr>
            <a:t> la nota definitiva&gt;=3</a:t>
          </a:r>
          <a:endParaRPr lang="es-CO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5</xdr:row>
      <xdr:rowOff>9525</xdr:rowOff>
    </xdr:from>
    <xdr:to>
      <xdr:col>3</xdr:col>
      <xdr:colOff>19050</xdr:colOff>
      <xdr:row>13</xdr:row>
      <xdr:rowOff>28575</xdr:rowOff>
    </xdr:to>
    <xdr:cxnSp macro="">
      <xdr:nvCxnSpPr>
        <xdr:cNvPr id="3" name="Conector recto de flecha 2"/>
        <xdr:cNvCxnSpPr/>
      </xdr:nvCxnSpPr>
      <xdr:spPr>
        <a:xfrm flipH="1">
          <a:off x="1524000" y="781050"/>
          <a:ext cx="19050" cy="15430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5</xdr:row>
      <xdr:rowOff>47625</xdr:rowOff>
    </xdr:from>
    <xdr:to>
      <xdr:col>8</xdr:col>
      <xdr:colOff>28575</xdr:colOff>
      <xdr:row>12</xdr:row>
      <xdr:rowOff>152400</xdr:rowOff>
    </xdr:to>
    <xdr:cxnSp macro="">
      <xdr:nvCxnSpPr>
        <xdr:cNvPr id="4" name="Conector recto de flecha 3"/>
        <xdr:cNvCxnSpPr/>
      </xdr:nvCxnSpPr>
      <xdr:spPr>
        <a:xfrm flipH="1">
          <a:off x="6105525" y="1009650"/>
          <a:ext cx="19050" cy="14382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552450</xdr:colOff>
      <xdr:row>13</xdr:row>
      <xdr:rowOff>104775</xdr:rowOff>
    </xdr:from>
    <xdr:to>
      <xdr:col>3</xdr:col>
      <xdr:colOff>228600</xdr:colOff>
      <xdr:row>15</xdr:row>
      <xdr:rowOff>142875</xdr:rowOff>
    </xdr:to>
    <xdr:sp macro="" textlink="">
      <xdr:nvSpPr>
        <xdr:cNvPr id="5" name="Elipse 4"/>
        <xdr:cNvSpPr/>
      </xdr:nvSpPr>
      <xdr:spPr>
        <a:xfrm>
          <a:off x="2076450" y="2590800"/>
          <a:ext cx="438150" cy="4191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chemeClr val="tx1"/>
              </a:solidFill>
            </a:rPr>
            <a:t>v</a:t>
          </a:r>
        </a:p>
      </xdr:txBody>
    </xdr:sp>
    <xdr:clientData/>
  </xdr:twoCellAnchor>
  <xdr:twoCellAnchor>
    <xdr:from>
      <xdr:col>7</xdr:col>
      <xdr:colOff>523875</xdr:colOff>
      <xdr:row>13</xdr:row>
      <xdr:rowOff>95250</xdr:rowOff>
    </xdr:from>
    <xdr:to>
      <xdr:col>8</xdr:col>
      <xdr:colOff>238125</xdr:colOff>
      <xdr:row>15</xdr:row>
      <xdr:rowOff>142875</xdr:rowOff>
    </xdr:to>
    <xdr:sp macro="" textlink="">
      <xdr:nvSpPr>
        <xdr:cNvPr id="6" name="Elipse 5"/>
        <xdr:cNvSpPr/>
      </xdr:nvSpPr>
      <xdr:spPr>
        <a:xfrm>
          <a:off x="5857875" y="2581275"/>
          <a:ext cx="476250" cy="4286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200" b="1">
              <a:solidFill>
                <a:schemeClr val="tx1"/>
              </a:solidFill>
            </a:rPr>
            <a:t>  F</a:t>
          </a:r>
        </a:p>
      </xdr:txBody>
    </xdr:sp>
    <xdr:clientData/>
  </xdr:twoCellAnchor>
  <xdr:twoCellAnchor>
    <xdr:from>
      <xdr:col>3</xdr:col>
      <xdr:colOff>76200</xdr:colOff>
      <xdr:row>17</xdr:row>
      <xdr:rowOff>66675</xdr:rowOff>
    </xdr:from>
    <xdr:to>
      <xdr:col>3</xdr:col>
      <xdr:colOff>200025</xdr:colOff>
      <xdr:row>18</xdr:row>
      <xdr:rowOff>0</xdr:rowOff>
    </xdr:to>
    <xdr:cxnSp macro="">
      <xdr:nvCxnSpPr>
        <xdr:cNvPr id="7" name="Conector recto de flecha 6"/>
        <xdr:cNvCxnSpPr/>
      </xdr:nvCxnSpPr>
      <xdr:spPr>
        <a:xfrm>
          <a:off x="1600200" y="3124200"/>
          <a:ext cx="123825" cy="1238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228600</xdr:colOff>
      <xdr:row>17</xdr:row>
      <xdr:rowOff>47625</xdr:rowOff>
    </xdr:from>
    <xdr:to>
      <xdr:col>7</xdr:col>
      <xdr:colOff>276225</xdr:colOff>
      <xdr:row>17</xdr:row>
      <xdr:rowOff>180975</xdr:rowOff>
    </xdr:to>
    <xdr:cxnSp macro="">
      <xdr:nvCxnSpPr>
        <xdr:cNvPr id="8" name="Conector recto de flecha 7"/>
        <xdr:cNvCxnSpPr/>
      </xdr:nvCxnSpPr>
      <xdr:spPr>
        <a:xfrm flipH="1">
          <a:off x="5562600" y="3295650"/>
          <a:ext cx="47625" cy="1333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571500</xdr:colOff>
      <xdr:row>4</xdr:row>
      <xdr:rowOff>161925</xdr:rowOff>
    </xdr:from>
    <xdr:to>
      <xdr:col>5</xdr:col>
      <xdr:colOff>209550</xdr:colOff>
      <xdr:row>5</xdr:row>
      <xdr:rowOff>104776</xdr:rowOff>
    </xdr:to>
    <xdr:cxnSp macro="">
      <xdr:nvCxnSpPr>
        <xdr:cNvPr id="9" name="Conector recto de flecha 8"/>
        <xdr:cNvCxnSpPr/>
      </xdr:nvCxnSpPr>
      <xdr:spPr>
        <a:xfrm flipV="1">
          <a:off x="3619500" y="933450"/>
          <a:ext cx="400050" cy="13335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34"/>
  <sheetViews>
    <sheetView topLeftCell="A7" workbookViewId="0">
      <selection activeCell="Q24" sqref="Q24"/>
    </sheetView>
  </sheetViews>
  <sheetFormatPr baseColWidth="10" defaultRowHeight="15.75" x14ac:dyDescent="0.25"/>
  <cols>
    <col min="1" max="1" width="5.7109375" style="1" customWidth="1"/>
    <col min="2" max="2" width="23.85546875" style="1" bestFit="1" customWidth="1"/>
    <col min="3" max="10" width="5.7109375" style="1" customWidth="1"/>
    <col min="11" max="11" width="9.42578125" style="1" bestFit="1" customWidth="1"/>
    <col min="12" max="12" width="10" style="1" bestFit="1" customWidth="1"/>
    <col min="13" max="13" width="7.140625" style="1" bestFit="1" customWidth="1"/>
    <col min="14" max="14" width="7.7109375" style="1" bestFit="1" customWidth="1"/>
    <col min="15" max="15" width="13.85546875" style="1" bestFit="1" customWidth="1"/>
    <col min="16" max="16384" width="11.42578125" style="1"/>
  </cols>
  <sheetData>
    <row r="8" spans="1:15" ht="16.5" thickBot="1" x14ac:dyDescent="0.3"/>
    <row r="9" spans="1:15" ht="15.75" customHeight="1" x14ac:dyDescent="0.25">
      <c r="A9" s="23" t="s">
        <v>22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ht="15.75" customHeight="1" thickBot="1" x14ac:dyDescent="0.3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ht="14.25" customHeight="1" thickBot="1" x14ac:dyDescent="0.3">
      <c r="A11" s="27" t="s">
        <v>26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 ht="15.75" customHeight="1" thickTop="1" thickBot="1" x14ac:dyDescent="0.3">
      <c r="A12" s="28" t="s">
        <v>31</v>
      </c>
      <c r="B12" s="28"/>
      <c r="C12" s="29">
        <v>0.3</v>
      </c>
      <c r="D12" s="29"/>
      <c r="E12" s="29"/>
      <c r="F12" s="29"/>
      <c r="G12" s="29"/>
      <c r="H12" s="29"/>
      <c r="I12" s="29"/>
      <c r="J12" s="29"/>
      <c r="K12" s="19">
        <v>0.2</v>
      </c>
      <c r="L12" s="19">
        <v>0.2</v>
      </c>
      <c r="M12" s="19">
        <v>0.1</v>
      </c>
      <c r="N12" s="19">
        <v>0.1</v>
      </c>
      <c r="O12" s="19">
        <v>0.1</v>
      </c>
    </row>
    <row r="13" spans="1:15" ht="15.75" customHeight="1" thickTop="1" thickBot="1" x14ac:dyDescent="0.3">
      <c r="A13" s="28"/>
      <c r="B13" s="28"/>
      <c r="C13" s="30" t="s">
        <v>28</v>
      </c>
      <c r="D13" s="30"/>
      <c r="E13" s="30"/>
      <c r="F13" s="30"/>
      <c r="G13" s="30"/>
      <c r="H13" s="30"/>
      <c r="I13" s="30"/>
      <c r="J13" s="30"/>
      <c r="K13" s="9" t="s">
        <v>20</v>
      </c>
      <c r="L13" s="9" t="s">
        <v>21</v>
      </c>
      <c r="M13" s="9" t="s">
        <v>24</v>
      </c>
      <c r="N13" s="9" t="s">
        <v>25</v>
      </c>
      <c r="O13" s="9" t="s">
        <v>23</v>
      </c>
    </row>
    <row r="14" spans="1:15" ht="15.75" customHeight="1" thickTop="1" thickBot="1" x14ac:dyDescent="0.3">
      <c r="A14" s="3">
        <v>1</v>
      </c>
      <c r="B14" s="3" t="s">
        <v>8</v>
      </c>
      <c r="C14" s="11">
        <v>4.3</v>
      </c>
      <c r="D14" s="11">
        <v>1.2</v>
      </c>
      <c r="E14" s="11">
        <v>2.9</v>
      </c>
      <c r="F14" s="11">
        <v>4.5</v>
      </c>
      <c r="G14" s="11">
        <v>4.8</v>
      </c>
      <c r="H14" s="11">
        <v>3.9</v>
      </c>
      <c r="I14" s="13">
        <v>4.2</v>
      </c>
      <c r="J14" s="13">
        <v>4</v>
      </c>
      <c r="K14" s="11">
        <v>3.8</v>
      </c>
      <c r="L14" s="11">
        <v>4.3</v>
      </c>
      <c r="M14" s="13">
        <v>3.4</v>
      </c>
      <c r="N14" s="13">
        <v>2.9</v>
      </c>
      <c r="O14" s="11">
        <v>3.5</v>
      </c>
    </row>
    <row r="15" spans="1:15" s="2" customFormat="1" ht="17.25" thickTop="1" thickBot="1" x14ac:dyDescent="0.3">
      <c r="A15" s="3">
        <v>2</v>
      </c>
      <c r="B15" s="3" t="s">
        <v>4</v>
      </c>
      <c r="C15" s="13">
        <v>4</v>
      </c>
      <c r="D15" s="13">
        <v>4.0999999999999996</v>
      </c>
      <c r="E15" s="13">
        <v>3.8</v>
      </c>
      <c r="F15" s="13">
        <v>2.2000000000000002</v>
      </c>
      <c r="G15" s="13">
        <v>1.9</v>
      </c>
      <c r="H15" s="13">
        <v>3</v>
      </c>
      <c r="I15" s="13">
        <v>4.8</v>
      </c>
      <c r="J15" s="13">
        <v>5</v>
      </c>
      <c r="K15" s="13">
        <v>4.5999999999999996</v>
      </c>
      <c r="L15" s="13">
        <v>3.2</v>
      </c>
      <c r="M15" s="13">
        <v>2.5</v>
      </c>
      <c r="N15" s="13">
        <v>4.2</v>
      </c>
      <c r="O15" s="14">
        <v>4</v>
      </c>
    </row>
    <row r="16" spans="1:15" s="2" customFormat="1" ht="17.25" thickTop="1" thickBot="1" x14ac:dyDescent="0.3">
      <c r="A16" s="3">
        <v>3</v>
      </c>
      <c r="B16" s="3" t="s">
        <v>14</v>
      </c>
      <c r="C16" s="13">
        <v>4.5</v>
      </c>
      <c r="D16" s="13">
        <v>3.8</v>
      </c>
      <c r="E16" s="13">
        <v>4.2</v>
      </c>
      <c r="F16" s="13">
        <v>4</v>
      </c>
      <c r="G16" s="13">
        <v>5</v>
      </c>
      <c r="H16" s="13">
        <v>5</v>
      </c>
      <c r="I16" s="13">
        <v>5</v>
      </c>
      <c r="J16" s="13">
        <v>4.8</v>
      </c>
      <c r="K16" s="13">
        <v>4.5</v>
      </c>
      <c r="L16" s="13">
        <v>4.5999999999999996</v>
      </c>
      <c r="M16" s="13">
        <v>3.8</v>
      </c>
      <c r="N16" s="13">
        <v>4.5</v>
      </c>
      <c r="O16" s="13">
        <v>4</v>
      </c>
    </row>
    <row r="17" spans="1:15" ht="17.25" thickTop="1" thickBot="1" x14ac:dyDescent="0.3">
      <c r="A17" s="3">
        <v>4</v>
      </c>
      <c r="B17" s="3" t="s">
        <v>13</v>
      </c>
      <c r="C17" s="13">
        <v>3.5</v>
      </c>
      <c r="D17" s="13">
        <v>4</v>
      </c>
      <c r="E17" s="13">
        <v>4.8</v>
      </c>
      <c r="F17" s="13">
        <v>5</v>
      </c>
      <c r="G17" s="13">
        <v>2.5</v>
      </c>
      <c r="H17" s="13">
        <v>3.9</v>
      </c>
      <c r="I17" s="13">
        <v>3.5</v>
      </c>
      <c r="J17" s="13">
        <v>4.5</v>
      </c>
      <c r="K17" s="13">
        <v>2.9</v>
      </c>
      <c r="L17" s="13">
        <v>3</v>
      </c>
      <c r="M17" s="13">
        <v>4.5</v>
      </c>
      <c r="N17" s="13">
        <v>1</v>
      </c>
      <c r="O17" s="13">
        <v>3.5</v>
      </c>
    </row>
    <row r="18" spans="1:15" ht="17.25" thickTop="1" thickBot="1" x14ac:dyDescent="0.3">
      <c r="A18" s="3">
        <v>5</v>
      </c>
      <c r="B18" s="3" t="s">
        <v>11</v>
      </c>
      <c r="C18" s="13">
        <v>5</v>
      </c>
      <c r="D18" s="13">
        <v>3.9</v>
      </c>
      <c r="E18" s="13">
        <v>5</v>
      </c>
      <c r="F18" s="13">
        <v>4.8</v>
      </c>
      <c r="G18" s="13">
        <v>4.3</v>
      </c>
      <c r="H18" s="13">
        <v>0</v>
      </c>
      <c r="I18" s="13">
        <v>2.2999999999999998</v>
      </c>
      <c r="J18" s="13">
        <v>5</v>
      </c>
      <c r="K18" s="13">
        <v>3.2</v>
      </c>
      <c r="L18" s="13">
        <v>5</v>
      </c>
      <c r="M18" s="13">
        <v>4.5</v>
      </c>
      <c r="N18" s="13">
        <v>5</v>
      </c>
      <c r="O18" s="13">
        <v>3</v>
      </c>
    </row>
    <row r="19" spans="1:15" ht="17.25" thickTop="1" thickBot="1" x14ac:dyDescent="0.3">
      <c r="A19" s="3">
        <v>6</v>
      </c>
      <c r="B19" s="3" t="s">
        <v>2</v>
      </c>
      <c r="C19" s="13">
        <v>3.2</v>
      </c>
      <c r="D19" s="13">
        <v>2.4</v>
      </c>
      <c r="E19" s="13">
        <v>3.5</v>
      </c>
      <c r="F19" s="13">
        <v>4.5</v>
      </c>
      <c r="G19" s="13">
        <v>4.5</v>
      </c>
      <c r="H19" s="13">
        <v>5</v>
      </c>
      <c r="I19" s="13">
        <v>2.9</v>
      </c>
      <c r="J19" s="13">
        <v>1</v>
      </c>
      <c r="K19" s="13">
        <v>4.9000000000000004</v>
      </c>
      <c r="L19" s="13">
        <v>4.3</v>
      </c>
      <c r="M19" s="13">
        <v>4.5</v>
      </c>
      <c r="N19" s="13">
        <v>5</v>
      </c>
      <c r="O19" s="13">
        <v>3.5</v>
      </c>
    </row>
    <row r="20" spans="1:15" ht="17.25" thickTop="1" thickBot="1" x14ac:dyDescent="0.3">
      <c r="A20" s="3">
        <v>7</v>
      </c>
      <c r="B20" s="3" t="s">
        <v>0</v>
      </c>
      <c r="C20" s="13">
        <v>5</v>
      </c>
      <c r="D20" s="13">
        <v>5</v>
      </c>
      <c r="E20" s="13">
        <v>2.2999999999999998</v>
      </c>
      <c r="F20" s="13">
        <v>5</v>
      </c>
      <c r="G20" s="13">
        <v>3.8</v>
      </c>
      <c r="H20" s="13">
        <v>4.8</v>
      </c>
      <c r="I20" s="13">
        <v>4.5999999999999996</v>
      </c>
      <c r="J20" s="13">
        <v>4.5</v>
      </c>
      <c r="K20" s="13">
        <v>2</v>
      </c>
      <c r="L20" s="13">
        <v>5</v>
      </c>
      <c r="M20" s="13">
        <v>3.9</v>
      </c>
      <c r="N20" s="13">
        <v>2</v>
      </c>
      <c r="O20" s="13">
        <v>4.5</v>
      </c>
    </row>
    <row r="21" spans="1:15" ht="17.25" thickTop="1" thickBot="1" x14ac:dyDescent="0.3">
      <c r="A21" s="3">
        <v>8</v>
      </c>
      <c r="B21" s="3" t="s">
        <v>17</v>
      </c>
      <c r="C21" s="13">
        <v>2.8</v>
      </c>
      <c r="D21" s="13">
        <v>2.2999999999999998</v>
      </c>
      <c r="E21" s="13">
        <v>2.9</v>
      </c>
      <c r="F21" s="13">
        <v>1.9</v>
      </c>
      <c r="G21" s="13">
        <v>0</v>
      </c>
      <c r="H21" s="13">
        <v>1.6</v>
      </c>
      <c r="I21" s="13">
        <v>1</v>
      </c>
      <c r="J21" s="13">
        <v>1.8</v>
      </c>
      <c r="K21" s="13">
        <v>3</v>
      </c>
      <c r="L21" s="13">
        <v>3.9</v>
      </c>
      <c r="M21" s="13">
        <v>3</v>
      </c>
      <c r="N21" s="13">
        <v>3.5</v>
      </c>
      <c r="O21" s="13">
        <v>4.2</v>
      </c>
    </row>
    <row r="22" spans="1:15" ht="17.25" thickTop="1" thickBot="1" x14ac:dyDescent="0.3">
      <c r="A22" s="3">
        <v>9</v>
      </c>
      <c r="B22" s="3" t="s">
        <v>16</v>
      </c>
      <c r="C22" s="13">
        <v>0</v>
      </c>
      <c r="D22" s="13">
        <v>3.9</v>
      </c>
      <c r="E22" s="13">
        <v>4.2</v>
      </c>
      <c r="F22" s="13">
        <v>4</v>
      </c>
      <c r="G22" s="13">
        <v>1</v>
      </c>
      <c r="H22" s="13">
        <v>5</v>
      </c>
      <c r="I22" s="13">
        <v>3.2</v>
      </c>
      <c r="J22" s="13">
        <v>2.5</v>
      </c>
      <c r="K22" s="13">
        <v>2.5</v>
      </c>
      <c r="L22" s="13">
        <v>1.3</v>
      </c>
      <c r="M22" s="13">
        <v>3.1</v>
      </c>
      <c r="N22" s="13">
        <v>2.2999999999999998</v>
      </c>
      <c r="O22" s="13">
        <v>2.2000000000000002</v>
      </c>
    </row>
    <row r="23" spans="1:15" ht="17.25" thickTop="1" thickBot="1" x14ac:dyDescent="0.3">
      <c r="A23" s="3">
        <v>10</v>
      </c>
      <c r="B23" s="3" t="s">
        <v>5</v>
      </c>
      <c r="C23" s="13">
        <v>3</v>
      </c>
      <c r="D23" s="13">
        <v>4.9000000000000004</v>
      </c>
      <c r="E23" s="13">
        <v>4.5</v>
      </c>
      <c r="F23" s="13">
        <v>5</v>
      </c>
      <c r="G23" s="13">
        <v>3.5</v>
      </c>
      <c r="H23" s="13">
        <v>4.3</v>
      </c>
      <c r="I23" s="13">
        <v>5</v>
      </c>
      <c r="J23" s="13">
        <v>4.8</v>
      </c>
      <c r="K23" s="13">
        <v>3.8</v>
      </c>
      <c r="L23" s="13">
        <v>5</v>
      </c>
      <c r="M23" s="13">
        <v>5</v>
      </c>
      <c r="N23" s="13">
        <v>4.8</v>
      </c>
      <c r="O23" s="13">
        <v>4.5</v>
      </c>
    </row>
    <row r="24" spans="1:15" ht="17.25" thickTop="1" thickBot="1" x14ac:dyDescent="0.3">
      <c r="A24" s="3">
        <v>11</v>
      </c>
      <c r="B24" s="3" t="s">
        <v>19</v>
      </c>
      <c r="C24" s="13">
        <v>0.9</v>
      </c>
      <c r="D24" s="13">
        <v>4.8</v>
      </c>
      <c r="E24" s="13">
        <v>4.9000000000000004</v>
      </c>
      <c r="F24" s="13">
        <v>3.6</v>
      </c>
      <c r="G24" s="13">
        <v>5</v>
      </c>
      <c r="H24" s="13">
        <v>3.5</v>
      </c>
      <c r="I24" s="13">
        <v>4.8</v>
      </c>
      <c r="J24" s="13">
        <v>4.5999999999999996</v>
      </c>
      <c r="K24" s="13">
        <v>4.5</v>
      </c>
      <c r="L24" s="13">
        <v>5</v>
      </c>
      <c r="M24" s="13">
        <v>4.3</v>
      </c>
      <c r="N24" s="13">
        <v>4.5999999999999996</v>
      </c>
      <c r="O24" s="13">
        <v>3</v>
      </c>
    </row>
    <row r="25" spans="1:15" ht="17.25" thickTop="1" thickBot="1" x14ac:dyDescent="0.3">
      <c r="A25" s="3">
        <v>12</v>
      </c>
      <c r="B25" s="3" t="s">
        <v>10</v>
      </c>
      <c r="C25" s="13">
        <v>1.2</v>
      </c>
      <c r="D25" s="13">
        <v>2.6</v>
      </c>
      <c r="E25" s="13">
        <v>5</v>
      </c>
      <c r="F25" s="13">
        <v>4.5</v>
      </c>
      <c r="G25" s="13">
        <v>5</v>
      </c>
      <c r="H25" s="13">
        <v>4.0999999999999996</v>
      </c>
      <c r="I25" s="13">
        <v>3.8</v>
      </c>
      <c r="J25" s="13">
        <v>2.2000000000000002</v>
      </c>
      <c r="K25" s="13">
        <v>4.5</v>
      </c>
      <c r="L25" s="13">
        <v>4</v>
      </c>
      <c r="M25" s="13">
        <v>3.5</v>
      </c>
      <c r="N25" s="13">
        <v>4.8</v>
      </c>
      <c r="O25" s="13">
        <v>4.3</v>
      </c>
    </row>
    <row r="26" spans="1:15" ht="17.25" thickTop="1" thickBot="1" x14ac:dyDescent="0.3">
      <c r="A26" s="3">
        <v>13</v>
      </c>
      <c r="B26" s="3" t="s">
        <v>9</v>
      </c>
      <c r="C26" s="13">
        <v>5</v>
      </c>
      <c r="D26" s="13">
        <v>5</v>
      </c>
      <c r="E26" s="13">
        <v>5</v>
      </c>
      <c r="F26" s="13">
        <v>2.9</v>
      </c>
      <c r="G26" s="13">
        <v>5</v>
      </c>
      <c r="H26" s="13">
        <v>3.8</v>
      </c>
      <c r="I26" s="13">
        <v>4.2</v>
      </c>
      <c r="J26" s="13">
        <v>4</v>
      </c>
      <c r="K26" s="13">
        <v>4.5</v>
      </c>
      <c r="L26" s="13">
        <v>4</v>
      </c>
      <c r="M26" s="13">
        <v>4.0999999999999996</v>
      </c>
      <c r="N26" s="13">
        <v>3.1</v>
      </c>
      <c r="O26" s="13">
        <v>4.5</v>
      </c>
    </row>
    <row r="27" spans="1:15" ht="17.25" thickTop="1" thickBot="1" x14ac:dyDescent="0.3">
      <c r="A27" s="3">
        <v>14</v>
      </c>
      <c r="B27" s="3" t="s">
        <v>18</v>
      </c>
      <c r="C27" s="13">
        <v>5</v>
      </c>
      <c r="D27" s="13">
        <v>4.5</v>
      </c>
      <c r="E27" s="13">
        <v>5</v>
      </c>
      <c r="F27" s="13">
        <v>3.2</v>
      </c>
      <c r="G27" s="13">
        <v>4.5</v>
      </c>
      <c r="H27" s="13">
        <v>4</v>
      </c>
      <c r="I27" s="13">
        <v>4.8</v>
      </c>
      <c r="J27" s="13">
        <v>5</v>
      </c>
      <c r="K27" s="13">
        <v>3.9</v>
      </c>
      <c r="L27" s="13">
        <v>3.6</v>
      </c>
      <c r="M27" s="13">
        <v>3.8</v>
      </c>
      <c r="N27" s="13">
        <v>5</v>
      </c>
      <c r="O27" s="13">
        <v>3</v>
      </c>
    </row>
    <row r="28" spans="1:15" ht="17.25" thickTop="1" thickBot="1" x14ac:dyDescent="0.3">
      <c r="A28" s="3">
        <v>15</v>
      </c>
      <c r="B28" s="3" t="s">
        <v>15</v>
      </c>
      <c r="C28" s="13">
        <v>5</v>
      </c>
      <c r="D28" s="13">
        <v>4.2</v>
      </c>
      <c r="E28" s="13">
        <v>4.5</v>
      </c>
      <c r="F28" s="13">
        <v>2.5</v>
      </c>
      <c r="G28" s="13">
        <v>5</v>
      </c>
      <c r="H28" s="13">
        <v>3.9</v>
      </c>
      <c r="I28" s="13">
        <v>5</v>
      </c>
      <c r="J28" s="13">
        <v>4.8</v>
      </c>
      <c r="K28" s="13">
        <v>0</v>
      </c>
      <c r="L28" s="13">
        <v>3.1</v>
      </c>
      <c r="M28" s="13">
        <v>4</v>
      </c>
      <c r="N28" s="13">
        <v>4.3</v>
      </c>
      <c r="O28" s="13">
        <v>4</v>
      </c>
    </row>
    <row r="29" spans="1:15" ht="17.25" thickTop="1" thickBot="1" x14ac:dyDescent="0.3">
      <c r="A29" s="3">
        <v>16</v>
      </c>
      <c r="B29" s="3" t="s">
        <v>1</v>
      </c>
      <c r="C29" s="13">
        <v>4.9000000000000004</v>
      </c>
      <c r="D29" s="13">
        <v>3.2</v>
      </c>
      <c r="E29" s="13">
        <v>4.9000000000000004</v>
      </c>
      <c r="F29" s="13">
        <v>3.5</v>
      </c>
      <c r="G29" s="13">
        <v>3.9</v>
      </c>
      <c r="H29" s="13">
        <v>4.5</v>
      </c>
      <c r="I29" s="13">
        <v>3.5</v>
      </c>
      <c r="J29" s="13">
        <v>4.5</v>
      </c>
      <c r="K29" s="13">
        <v>4.8</v>
      </c>
      <c r="L29" s="13">
        <v>3.7</v>
      </c>
      <c r="M29" s="13">
        <v>3.9</v>
      </c>
      <c r="N29" s="13">
        <v>3.5</v>
      </c>
      <c r="O29" s="13">
        <v>3.5</v>
      </c>
    </row>
    <row r="30" spans="1:15" ht="17.25" thickTop="1" thickBot="1" x14ac:dyDescent="0.3">
      <c r="A30" s="3">
        <v>17</v>
      </c>
      <c r="B30" s="3" t="s">
        <v>6</v>
      </c>
      <c r="C30" s="13">
        <v>3.9</v>
      </c>
      <c r="D30" s="13">
        <v>5</v>
      </c>
      <c r="E30" s="13">
        <v>4.8</v>
      </c>
      <c r="F30" s="13">
        <v>4</v>
      </c>
      <c r="G30" s="13">
        <v>5</v>
      </c>
      <c r="H30" s="13">
        <v>5</v>
      </c>
      <c r="I30" s="13">
        <v>2.2999999999999998</v>
      </c>
      <c r="J30" s="13">
        <v>5</v>
      </c>
      <c r="K30" s="13">
        <v>3.7</v>
      </c>
      <c r="L30" s="13">
        <v>4.5</v>
      </c>
      <c r="M30" s="13">
        <v>4.5</v>
      </c>
      <c r="N30" s="13">
        <v>4.0999999999999996</v>
      </c>
      <c r="O30" s="13">
        <v>4.5</v>
      </c>
    </row>
    <row r="31" spans="1:15" ht="17.25" thickTop="1" thickBot="1" x14ac:dyDescent="0.3">
      <c r="A31" s="3">
        <v>18</v>
      </c>
      <c r="B31" s="3" t="s">
        <v>7</v>
      </c>
      <c r="C31" s="13">
        <v>3.8</v>
      </c>
      <c r="D31" s="13">
        <v>4.8</v>
      </c>
      <c r="E31" s="13">
        <v>4.5999999999999996</v>
      </c>
      <c r="F31" s="13">
        <v>5</v>
      </c>
      <c r="G31" s="13">
        <v>5</v>
      </c>
      <c r="H31" s="13">
        <v>3.4</v>
      </c>
      <c r="I31" s="13">
        <v>2.9</v>
      </c>
      <c r="J31" s="13">
        <v>1</v>
      </c>
      <c r="K31" s="13">
        <v>3.8</v>
      </c>
      <c r="L31" s="13">
        <v>5</v>
      </c>
      <c r="M31" s="13">
        <v>5</v>
      </c>
      <c r="N31" s="13">
        <v>3.8</v>
      </c>
      <c r="O31" s="13">
        <v>4.5</v>
      </c>
    </row>
    <row r="32" spans="1:15" ht="17.25" thickTop="1" thickBot="1" x14ac:dyDescent="0.3">
      <c r="A32" s="3">
        <v>19</v>
      </c>
      <c r="B32" s="3" t="s">
        <v>3</v>
      </c>
      <c r="C32" s="13">
        <v>5</v>
      </c>
      <c r="D32" s="13">
        <v>4.9000000000000004</v>
      </c>
      <c r="E32" s="13">
        <v>4.2</v>
      </c>
      <c r="F32" s="13">
        <v>4</v>
      </c>
      <c r="G32" s="13">
        <v>4.8</v>
      </c>
      <c r="H32" s="13">
        <v>5</v>
      </c>
      <c r="I32" s="13">
        <v>4.5999999999999996</v>
      </c>
      <c r="J32" s="13">
        <v>4.5</v>
      </c>
      <c r="K32" s="13">
        <v>3.5</v>
      </c>
      <c r="L32" s="13">
        <v>5</v>
      </c>
      <c r="M32" s="13">
        <v>4</v>
      </c>
      <c r="N32" s="13">
        <v>4</v>
      </c>
      <c r="O32" s="13">
        <v>4.5</v>
      </c>
    </row>
    <row r="33" spans="1:15" ht="17.25" thickTop="1" thickBot="1" x14ac:dyDescent="0.3">
      <c r="A33" s="3">
        <v>20</v>
      </c>
      <c r="B33" s="3" t="s">
        <v>12</v>
      </c>
      <c r="C33" s="13">
        <v>4</v>
      </c>
      <c r="D33" s="13">
        <v>5</v>
      </c>
      <c r="E33" s="13">
        <v>3.6</v>
      </c>
      <c r="F33" s="13">
        <v>4</v>
      </c>
      <c r="G33" s="13">
        <v>4.8</v>
      </c>
      <c r="H33" s="13">
        <v>3.2</v>
      </c>
      <c r="I33" s="13">
        <v>4.5</v>
      </c>
      <c r="J33" s="13">
        <v>4.5999999999999996</v>
      </c>
      <c r="K33" s="13">
        <v>4</v>
      </c>
      <c r="L33" s="13">
        <v>5</v>
      </c>
      <c r="M33" s="13">
        <v>4</v>
      </c>
      <c r="N33" s="13">
        <v>3.9</v>
      </c>
      <c r="O33" s="13">
        <v>3.5</v>
      </c>
    </row>
    <row r="34" spans="1:15" ht="16.5" thickTop="1" x14ac:dyDescent="0.25">
      <c r="N34" s="4"/>
    </row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X38"/>
  <sheetViews>
    <sheetView tabSelected="1" topLeftCell="A8" zoomScale="85" zoomScaleNormal="85" workbookViewId="0">
      <selection activeCell="U14" sqref="U14"/>
    </sheetView>
  </sheetViews>
  <sheetFormatPr baseColWidth="10" defaultRowHeight="15.75" x14ac:dyDescent="0.25"/>
  <cols>
    <col min="1" max="1" width="6.28515625" style="1" customWidth="1"/>
    <col min="2" max="2" width="23.85546875" style="1" bestFit="1" customWidth="1"/>
    <col min="3" max="10" width="5.7109375" style="1" customWidth="1"/>
    <col min="11" max="12" width="8" style="1" customWidth="1"/>
    <col min="13" max="13" width="9.42578125" style="1" bestFit="1" customWidth="1"/>
    <col min="14" max="14" width="9.42578125" style="1" customWidth="1"/>
    <col min="15" max="15" width="10" style="1" bestFit="1" customWidth="1"/>
    <col min="16" max="16" width="10" style="1" customWidth="1"/>
    <col min="17" max="17" width="7.140625" style="1" bestFit="1" customWidth="1"/>
    <col min="18" max="18" width="7.140625" style="1" customWidth="1"/>
    <col min="19" max="19" width="7.7109375" style="1" bestFit="1" customWidth="1"/>
    <col min="20" max="20" width="13.85546875" style="1" customWidth="1"/>
    <col min="21" max="21" width="13.85546875" style="1" bestFit="1" customWidth="1"/>
    <col min="22" max="22" width="8.28515625" style="1" customWidth="1"/>
    <col min="23" max="23" width="10.7109375" style="1" bestFit="1" customWidth="1"/>
    <col min="24" max="24" width="16.28515625" style="1" customWidth="1"/>
    <col min="25" max="16384" width="11.42578125" style="1"/>
  </cols>
  <sheetData>
    <row r="8" spans="1:24" ht="16.5" thickBot="1" x14ac:dyDescent="0.3"/>
    <row r="9" spans="1:24" ht="15.75" customHeight="1" x14ac:dyDescent="0.25">
      <c r="A9" s="23" t="s">
        <v>22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31"/>
    </row>
    <row r="10" spans="1:24" ht="15.75" customHeight="1" thickBot="1" x14ac:dyDescent="0.3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32"/>
    </row>
    <row r="11" spans="1:24" ht="14.25" customHeight="1" thickBot="1" x14ac:dyDescent="0.3">
      <c r="A11" s="27" t="s">
        <v>26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24" ht="15.75" customHeight="1" thickTop="1" thickBot="1" x14ac:dyDescent="0.3">
      <c r="A12" s="28" t="s">
        <v>31</v>
      </c>
      <c r="B12" s="28"/>
      <c r="C12" s="29"/>
      <c r="D12" s="29"/>
      <c r="E12" s="29"/>
      <c r="F12" s="29"/>
      <c r="G12" s="29"/>
      <c r="H12" s="29"/>
      <c r="I12" s="29"/>
      <c r="J12" s="29"/>
      <c r="K12" s="20"/>
      <c r="L12" s="20"/>
      <c r="N12" s="6" t="s">
        <v>29</v>
      </c>
      <c r="P12" s="7" t="s">
        <v>30</v>
      </c>
      <c r="R12" s="7" t="s">
        <v>30</v>
      </c>
      <c r="T12" s="7" t="s">
        <v>30</v>
      </c>
      <c r="V12" s="7" t="s">
        <v>30</v>
      </c>
      <c r="W12" s="7" t="s">
        <v>30</v>
      </c>
      <c r="X12" s="8" t="s">
        <v>27</v>
      </c>
    </row>
    <row r="13" spans="1:24" ht="15.75" customHeight="1" thickTop="1" thickBot="1" x14ac:dyDescent="0.3">
      <c r="A13" s="28"/>
      <c r="B13" s="28"/>
      <c r="C13" s="36" t="s">
        <v>28</v>
      </c>
      <c r="D13" s="36"/>
      <c r="E13" s="36"/>
      <c r="F13" s="36"/>
      <c r="G13" s="36"/>
      <c r="H13" s="36"/>
      <c r="I13" s="36"/>
      <c r="J13" s="36"/>
      <c r="K13" s="18" t="s">
        <v>32</v>
      </c>
      <c r="L13" s="19">
        <v>0.3</v>
      </c>
      <c r="M13" s="9" t="s">
        <v>20</v>
      </c>
      <c r="N13" s="5">
        <v>0.2</v>
      </c>
      <c r="O13" s="9" t="s">
        <v>21</v>
      </c>
      <c r="P13" s="5">
        <v>0.2</v>
      </c>
      <c r="Q13" s="9" t="s">
        <v>24</v>
      </c>
      <c r="R13" s="5">
        <v>0.1</v>
      </c>
      <c r="S13" s="9" t="s">
        <v>25</v>
      </c>
      <c r="T13" s="5">
        <v>0.1</v>
      </c>
      <c r="U13" s="9" t="s">
        <v>23</v>
      </c>
      <c r="V13" s="5">
        <v>0.1</v>
      </c>
      <c r="W13" s="10" t="s">
        <v>33</v>
      </c>
      <c r="X13" s="8" t="s">
        <v>34</v>
      </c>
    </row>
    <row r="14" spans="1:24" ht="15.75" customHeight="1" thickTop="1" thickBot="1" x14ac:dyDescent="0.3">
      <c r="A14" s="34">
        <v>1</v>
      </c>
      <c r="B14" s="35" t="str">
        <f>+VLOOKUP(A14,'Datos Estudiantes'!A14:B33,2,TRUE)</f>
        <v>ALEJANDRO SEPULVEDA</v>
      </c>
      <c r="C14" s="40">
        <f>+VLOOKUP(A14,'Datos Estudiantes'!A14:C33,3,TRUE)</f>
        <v>4.3</v>
      </c>
      <c r="D14" s="41">
        <f>+VLOOKUP(A14,'Datos Estudiantes'!A14:D33,4,TRUE)</f>
        <v>1.2</v>
      </c>
      <c r="E14" s="42">
        <f>+VLOOKUP(A14,'Datos Estudiantes'!A14:E33,5,TRUE)</f>
        <v>2.9</v>
      </c>
      <c r="F14" s="43">
        <f>+VLOOKUP(A14,'Datos Estudiantes'!A14:F33,6,TRUE)</f>
        <v>4.5</v>
      </c>
      <c r="G14" s="40">
        <f>+VLOOKUP(A14,'Datos Estudiantes'!A14:G33,7,TRUE)</f>
        <v>4.8</v>
      </c>
      <c r="H14" s="41">
        <f>+VLOOKUP(A14,'Datos Estudiantes'!A14:H33,8,TRUE)</f>
        <v>3.9</v>
      </c>
      <c r="I14" s="42">
        <f>+VLOOKUP(A14,'Datos Estudiantes'!A14:I33,9,TRUE)</f>
        <v>4.2</v>
      </c>
      <c r="J14" s="40">
        <f>+VLOOKUP(A14,'Datos Estudiantes'!A14:J33,10,TRUE)</f>
        <v>4</v>
      </c>
      <c r="K14" s="37">
        <f>+SUM(C14:J14)/8</f>
        <v>3.7249999999999996</v>
      </c>
      <c r="L14" s="13">
        <f>+K14*30%</f>
        <v>1.1174999999999999</v>
      </c>
      <c r="M14" s="11">
        <f>+VLOOKUP(A14,'Datos Estudiantes'!A14:K33,11,TRUE)</f>
        <v>3.8</v>
      </c>
      <c r="N14" s="12">
        <f>+M14*20%</f>
        <v>0.76</v>
      </c>
      <c r="O14" s="11">
        <f>+VLOOKUP(A14,'Datos Estudiantes'!A14:L33,12,TRUE)</f>
        <v>4.3</v>
      </c>
      <c r="P14" s="12">
        <f>+O14*20%</f>
        <v>0.86</v>
      </c>
      <c r="Q14" s="13">
        <f>+VLOOKUP(A14,'Datos Estudiantes'!A14:M33,13,TRUE)</f>
        <v>3.4</v>
      </c>
      <c r="R14" s="12">
        <f>Q14*10%</f>
        <v>0.34</v>
      </c>
      <c r="S14" s="13">
        <f>+VLOOKUP(A14,'Datos Estudiantes'!A14:N33,14,TRUE)</f>
        <v>2.9</v>
      </c>
      <c r="T14" s="12">
        <f>S14*10%</f>
        <v>0.28999999999999998</v>
      </c>
      <c r="U14" s="11">
        <f>+VLOOKUP(A14,'Datos Estudiantes'!A14:O33,15,TRUE)</f>
        <v>3.5</v>
      </c>
      <c r="V14" s="12">
        <f>U14*10%</f>
        <v>0.35000000000000003</v>
      </c>
      <c r="W14" s="12">
        <f>SUM(L14,N14,P14,R14,T14,V14)</f>
        <v>3.7174999999999998</v>
      </c>
      <c r="X14" s="21" t="str">
        <f>IF(W14&gt;=3,"APROBO","REPROBO")</f>
        <v>APROBO</v>
      </c>
    </row>
    <row r="15" spans="1:24" s="2" customFormat="1" ht="17.25" thickTop="1" thickBot="1" x14ac:dyDescent="0.3">
      <c r="A15" s="34">
        <v>2</v>
      </c>
      <c r="B15" s="35" t="str">
        <f>+VLOOKUP(A15,'Datos Estudiantes'!A15:B34,2,TRUE)</f>
        <v>CARLOS JARAMILLO</v>
      </c>
      <c r="C15" s="44">
        <f>+VLOOKUP(A15,'Datos Estudiantes'!A15:C34,3,TRUE)</f>
        <v>4</v>
      </c>
      <c r="D15" s="45">
        <f>+VLOOKUP(A15,'Datos Estudiantes'!A15:D34,4,TRUE)</f>
        <v>4.0999999999999996</v>
      </c>
      <c r="E15" s="46">
        <f>+VLOOKUP(A15,'Datos Estudiantes'!A15:E34,5,TRUE)</f>
        <v>3.8</v>
      </c>
      <c r="F15" s="47">
        <f>+VLOOKUP(A15,'Datos Estudiantes'!A15:F34,6,TRUE)</f>
        <v>2.2000000000000002</v>
      </c>
      <c r="G15" s="44">
        <f>+VLOOKUP(A15,'Datos Estudiantes'!A15:G34,7,TRUE)</f>
        <v>1.9</v>
      </c>
      <c r="H15" s="45">
        <f>+VLOOKUP(A15,'Datos Estudiantes'!A15:H34,8,TRUE)</f>
        <v>3</v>
      </c>
      <c r="I15" s="46">
        <f>+VLOOKUP(A15,'Datos Estudiantes'!A15:I34,9,TRUE)</f>
        <v>4.8</v>
      </c>
      <c r="J15" s="44">
        <f>+VLOOKUP(A15,'Datos Estudiantes'!A15:J34,10,TRUE)</f>
        <v>5</v>
      </c>
      <c r="K15" s="37">
        <f t="shared" ref="K15:K33" si="0">+SUM(C15:J15)/8</f>
        <v>3.6</v>
      </c>
      <c r="L15" s="13">
        <f t="shared" ref="L15:L33" si="1">+K15*30%</f>
        <v>1.08</v>
      </c>
      <c r="M15" s="11">
        <f>+VLOOKUP(A15,'Datos Estudiantes'!A15:K34,11,TRUE)</f>
        <v>4.5999999999999996</v>
      </c>
      <c r="N15" s="12">
        <f t="shared" ref="N15:N33" si="2">+M15*20%</f>
        <v>0.91999999999999993</v>
      </c>
      <c r="O15" s="11">
        <f>+VLOOKUP(A15,'Datos Estudiantes'!A15:L34,12,TRUE)</f>
        <v>3.2</v>
      </c>
      <c r="P15" s="12">
        <f t="shared" ref="P15:P33" si="3">+O15*20%</f>
        <v>0.64000000000000012</v>
      </c>
      <c r="Q15" s="13">
        <f>+VLOOKUP(A15,'Datos Estudiantes'!A15:M34,13,TRUE)</f>
        <v>2.5</v>
      </c>
      <c r="R15" s="12">
        <f t="shared" ref="R15:R32" si="4">Q15*10%</f>
        <v>0.25</v>
      </c>
      <c r="S15" s="13">
        <f>+VLOOKUP(A15,'Datos Estudiantes'!A15:N34,14,TRUE)</f>
        <v>4.2</v>
      </c>
      <c r="T15" s="12">
        <f t="shared" ref="T15:T33" si="5">S15*10%</f>
        <v>0.42000000000000004</v>
      </c>
      <c r="U15" s="11">
        <f>+VLOOKUP(A15,'Datos Estudiantes'!A15:O34,15,TRUE)</f>
        <v>4</v>
      </c>
      <c r="V15" s="12">
        <f t="shared" ref="V15:V32" si="6">U15*10%</f>
        <v>0.4</v>
      </c>
      <c r="W15" s="12">
        <f t="shared" ref="W15:W33" si="7">SUM(L15,N15,P15,R15,T15,V15)</f>
        <v>3.71</v>
      </c>
      <c r="X15" s="21" t="str">
        <f t="shared" ref="X15:X33" si="8">IF(W15&gt;=3,"APROBO","REPROBO")</f>
        <v>APROBO</v>
      </c>
    </row>
    <row r="16" spans="1:24" s="2" customFormat="1" ht="17.25" thickTop="1" thickBot="1" x14ac:dyDescent="0.3">
      <c r="A16" s="34">
        <v>3</v>
      </c>
      <c r="B16" s="35" t="str">
        <f>+VLOOKUP(A16,'Datos Estudiantes'!A16:B35,2,TRUE)</f>
        <v>CARLOS VERGARA</v>
      </c>
      <c r="C16" s="44">
        <f>+VLOOKUP(A16,'Datos Estudiantes'!A16:C35,3,TRUE)</f>
        <v>4.5</v>
      </c>
      <c r="D16" s="45">
        <f>+VLOOKUP(A16,'Datos Estudiantes'!A16:D35,4,TRUE)</f>
        <v>3.8</v>
      </c>
      <c r="E16" s="46">
        <f>+VLOOKUP(A16,'Datos Estudiantes'!A16:E35,5,TRUE)</f>
        <v>4.2</v>
      </c>
      <c r="F16" s="47">
        <f>+VLOOKUP(A16,'Datos Estudiantes'!A16:F35,6,TRUE)</f>
        <v>4</v>
      </c>
      <c r="G16" s="44">
        <f>+VLOOKUP(A16,'Datos Estudiantes'!A16:G35,7,TRUE)</f>
        <v>5</v>
      </c>
      <c r="H16" s="45">
        <f>+VLOOKUP(A16,'Datos Estudiantes'!A16:H35,8,TRUE)</f>
        <v>5</v>
      </c>
      <c r="I16" s="46">
        <f>+VLOOKUP(A16,'Datos Estudiantes'!A16:I35,9,TRUE)</f>
        <v>5</v>
      </c>
      <c r="J16" s="44">
        <f>+VLOOKUP(A16,'Datos Estudiantes'!A16:J35,10,TRUE)</f>
        <v>4.8</v>
      </c>
      <c r="K16" s="37">
        <f t="shared" si="0"/>
        <v>4.5374999999999996</v>
      </c>
      <c r="L16" s="13">
        <f t="shared" si="1"/>
        <v>1.3612499999999998</v>
      </c>
      <c r="M16" s="11">
        <f>+VLOOKUP(A16,'Datos Estudiantes'!A16:K35,11,TRUE)</f>
        <v>4.5</v>
      </c>
      <c r="N16" s="12">
        <f t="shared" si="2"/>
        <v>0.9</v>
      </c>
      <c r="O16" s="11">
        <f>+VLOOKUP(A16,'Datos Estudiantes'!A16:L35,12,TRUE)</f>
        <v>4.5999999999999996</v>
      </c>
      <c r="P16" s="12">
        <f t="shared" si="3"/>
        <v>0.91999999999999993</v>
      </c>
      <c r="Q16" s="13">
        <f>+VLOOKUP(A16,'Datos Estudiantes'!A16:M35,13,TRUE)</f>
        <v>3.8</v>
      </c>
      <c r="R16" s="12">
        <f t="shared" si="4"/>
        <v>0.38</v>
      </c>
      <c r="S16" s="13">
        <f>+VLOOKUP(A16,'Datos Estudiantes'!A16:N35,14,TRUE)</f>
        <v>4.5</v>
      </c>
      <c r="T16" s="12">
        <f t="shared" si="5"/>
        <v>0.45</v>
      </c>
      <c r="U16" s="11">
        <f>+VLOOKUP(A16,'Datos Estudiantes'!A16:O35,15,TRUE)</f>
        <v>4</v>
      </c>
      <c r="V16" s="12">
        <f t="shared" si="6"/>
        <v>0.4</v>
      </c>
      <c r="W16" s="12">
        <f t="shared" si="7"/>
        <v>4.4112499999999999</v>
      </c>
      <c r="X16" s="21" t="str">
        <f t="shared" si="8"/>
        <v>APROBO</v>
      </c>
    </row>
    <row r="17" spans="1:24" ht="17.25" thickTop="1" thickBot="1" x14ac:dyDescent="0.3">
      <c r="A17" s="34">
        <v>4</v>
      </c>
      <c r="B17" s="35" t="str">
        <f>+VLOOKUP(A17,'Datos Estudiantes'!A17:B36,2,TRUE)</f>
        <v>CESAR GUARIN</v>
      </c>
      <c r="C17" s="44">
        <f>+VLOOKUP(A17,'Datos Estudiantes'!A17:C36,3,TRUE)</f>
        <v>3.5</v>
      </c>
      <c r="D17" s="45">
        <f>+VLOOKUP(A17,'Datos Estudiantes'!A17:D36,4,TRUE)</f>
        <v>4</v>
      </c>
      <c r="E17" s="46">
        <f>+VLOOKUP(A17,'Datos Estudiantes'!A17:E36,5,TRUE)</f>
        <v>4.8</v>
      </c>
      <c r="F17" s="47">
        <f>+VLOOKUP(A17,'Datos Estudiantes'!A17:F36,6,TRUE)</f>
        <v>5</v>
      </c>
      <c r="G17" s="44">
        <f>+VLOOKUP(A17,'Datos Estudiantes'!A17:G36,7,TRUE)</f>
        <v>2.5</v>
      </c>
      <c r="H17" s="45">
        <f>+VLOOKUP(A17,'Datos Estudiantes'!A17:H36,8,TRUE)</f>
        <v>3.9</v>
      </c>
      <c r="I17" s="46">
        <f>+VLOOKUP(A17,'Datos Estudiantes'!A17:I36,9,TRUE)</f>
        <v>3.5</v>
      </c>
      <c r="J17" s="44">
        <f>+VLOOKUP(A17,'Datos Estudiantes'!A17:J36,10,TRUE)</f>
        <v>4.5</v>
      </c>
      <c r="K17" s="37">
        <f t="shared" si="0"/>
        <v>3.9624999999999999</v>
      </c>
      <c r="L17" s="13">
        <f t="shared" si="1"/>
        <v>1.18875</v>
      </c>
      <c r="M17" s="11">
        <f>+VLOOKUP(A17,'Datos Estudiantes'!A17:K36,11,TRUE)</f>
        <v>2.9</v>
      </c>
      <c r="N17" s="12">
        <f t="shared" si="2"/>
        <v>0.57999999999999996</v>
      </c>
      <c r="O17" s="11">
        <f>+VLOOKUP(A17,'Datos Estudiantes'!A17:L36,12,TRUE)</f>
        <v>3</v>
      </c>
      <c r="P17" s="12">
        <f t="shared" si="3"/>
        <v>0.60000000000000009</v>
      </c>
      <c r="Q17" s="13">
        <f>+VLOOKUP(A17,'Datos Estudiantes'!A17:M36,13,TRUE)</f>
        <v>4.5</v>
      </c>
      <c r="R17" s="12">
        <f t="shared" si="4"/>
        <v>0.45</v>
      </c>
      <c r="S17" s="13">
        <f>+VLOOKUP(A17,'Datos Estudiantes'!A17:N36,14,TRUE)</f>
        <v>1</v>
      </c>
      <c r="T17" s="12">
        <f t="shared" si="5"/>
        <v>0.1</v>
      </c>
      <c r="U17" s="11">
        <f>+VLOOKUP(A17,'Datos Estudiantes'!A17:O36,15,TRUE)</f>
        <v>3.5</v>
      </c>
      <c r="V17" s="12">
        <f t="shared" si="6"/>
        <v>0.35000000000000003</v>
      </c>
      <c r="W17" s="12">
        <f t="shared" si="7"/>
        <v>3.2687500000000003</v>
      </c>
      <c r="X17" s="21" t="str">
        <f t="shared" si="8"/>
        <v>APROBO</v>
      </c>
    </row>
    <row r="18" spans="1:24" ht="17.25" thickTop="1" thickBot="1" x14ac:dyDescent="0.3">
      <c r="A18" s="34">
        <v>5</v>
      </c>
      <c r="B18" s="38" t="str">
        <f>+VLOOKUP(A18,'Datos Estudiantes'!A18:B37,2,TRUE)</f>
        <v>CLAUDIA MONTES</v>
      </c>
      <c r="C18" s="44">
        <f>+VLOOKUP(A18,'Datos Estudiantes'!A18:C37,3,TRUE)</f>
        <v>5</v>
      </c>
      <c r="D18" s="45">
        <f>+VLOOKUP(A18,'Datos Estudiantes'!A18:D37,4,TRUE)</f>
        <v>3.9</v>
      </c>
      <c r="E18" s="46">
        <f>+VLOOKUP(A18,'Datos Estudiantes'!A18:E37,5,TRUE)</f>
        <v>5</v>
      </c>
      <c r="F18" s="47">
        <f>+VLOOKUP(A18,'Datos Estudiantes'!A18:F37,6,TRUE)</f>
        <v>4.8</v>
      </c>
      <c r="G18" s="44">
        <f>+VLOOKUP(A18,'Datos Estudiantes'!A18:G37,7,TRUE)</f>
        <v>4.3</v>
      </c>
      <c r="H18" s="45">
        <f>+VLOOKUP(A18,'Datos Estudiantes'!A18:H37,8,TRUE)</f>
        <v>0</v>
      </c>
      <c r="I18" s="46">
        <f>+VLOOKUP(A18,'Datos Estudiantes'!A18:I37,9,TRUE)</f>
        <v>2.2999999999999998</v>
      </c>
      <c r="J18" s="44">
        <f>+VLOOKUP(A18,'Datos Estudiantes'!A18:J37,10,TRUE)</f>
        <v>5</v>
      </c>
      <c r="K18" s="37">
        <f t="shared" si="0"/>
        <v>3.7875000000000001</v>
      </c>
      <c r="L18" s="13">
        <f t="shared" si="1"/>
        <v>1.13625</v>
      </c>
      <c r="M18" s="11">
        <f>+VLOOKUP(A18,'Datos Estudiantes'!A18:K37,11,TRUE)</f>
        <v>3.2</v>
      </c>
      <c r="N18" s="12">
        <f t="shared" si="2"/>
        <v>0.64000000000000012</v>
      </c>
      <c r="O18" s="11">
        <f>+VLOOKUP(A18,'Datos Estudiantes'!A18:L37,12,TRUE)</f>
        <v>5</v>
      </c>
      <c r="P18" s="12">
        <f t="shared" si="3"/>
        <v>1</v>
      </c>
      <c r="Q18" s="13">
        <f>+VLOOKUP(A18,'Datos Estudiantes'!A18:M37,13,TRUE)</f>
        <v>4.5</v>
      </c>
      <c r="R18" s="12">
        <f t="shared" si="4"/>
        <v>0.45</v>
      </c>
      <c r="S18" s="13">
        <f>+VLOOKUP(A18,'Datos Estudiantes'!A18:N37,14,TRUE)</f>
        <v>5</v>
      </c>
      <c r="T18" s="12">
        <f t="shared" si="5"/>
        <v>0.5</v>
      </c>
      <c r="U18" s="11">
        <f>+VLOOKUP(A18,'Datos Estudiantes'!A18:O37,15,TRUE)</f>
        <v>3</v>
      </c>
      <c r="V18" s="12">
        <f t="shared" si="6"/>
        <v>0.30000000000000004</v>
      </c>
      <c r="W18" s="12">
        <f t="shared" si="7"/>
        <v>4.0262500000000001</v>
      </c>
      <c r="X18" s="21" t="str">
        <f t="shared" si="8"/>
        <v>APROBO</v>
      </c>
    </row>
    <row r="19" spans="1:24" ht="17.25" thickTop="1" thickBot="1" x14ac:dyDescent="0.3">
      <c r="A19" s="34">
        <v>6</v>
      </c>
      <c r="B19" s="35" t="str">
        <f>+VLOOKUP(A19,'Datos Estudiantes'!A19:B38,2,TRUE)</f>
        <v>DEISY BUSTAMANTE</v>
      </c>
      <c r="C19" s="44">
        <f>+VLOOKUP(A19,'Datos Estudiantes'!A19:C38,3,TRUE)</f>
        <v>3.2</v>
      </c>
      <c r="D19" s="45">
        <f>+VLOOKUP(A19,'Datos Estudiantes'!A19:D38,4,TRUE)</f>
        <v>2.4</v>
      </c>
      <c r="E19" s="46">
        <f>+VLOOKUP(A19,'Datos Estudiantes'!A19:E38,5,TRUE)</f>
        <v>3.5</v>
      </c>
      <c r="F19" s="47">
        <f>+VLOOKUP(A19,'Datos Estudiantes'!A19:F38,6,TRUE)</f>
        <v>4.5</v>
      </c>
      <c r="G19" s="44">
        <f>+VLOOKUP(A19,'Datos Estudiantes'!A19:G38,7,TRUE)</f>
        <v>4.5</v>
      </c>
      <c r="H19" s="45">
        <f>+VLOOKUP(A19,'Datos Estudiantes'!A19:H38,8,TRUE)</f>
        <v>5</v>
      </c>
      <c r="I19" s="46">
        <f>+VLOOKUP(A19,'Datos Estudiantes'!A19:I38,9,TRUE)</f>
        <v>2.9</v>
      </c>
      <c r="J19" s="44">
        <f>+VLOOKUP(A19,'Datos Estudiantes'!A19:J38,10,TRUE)</f>
        <v>1</v>
      </c>
      <c r="K19" s="37">
        <f t="shared" si="0"/>
        <v>3.375</v>
      </c>
      <c r="L19" s="13">
        <f t="shared" si="1"/>
        <v>1.0125</v>
      </c>
      <c r="M19" s="11">
        <f>+VLOOKUP(A19,'Datos Estudiantes'!A19:K38,11,TRUE)</f>
        <v>4.9000000000000004</v>
      </c>
      <c r="N19" s="12">
        <f t="shared" si="2"/>
        <v>0.98000000000000009</v>
      </c>
      <c r="O19" s="11">
        <f>+VLOOKUP(A19,'Datos Estudiantes'!A19:L38,12,TRUE)</f>
        <v>4.3</v>
      </c>
      <c r="P19" s="12">
        <f t="shared" si="3"/>
        <v>0.86</v>
      </c>
      <c r="Q19" s="13">
        <f>+VLOOKUP(A19,'Datos Estudiantes'!A19:M38,13,TRUE)</f>
        <v>4.5</v>
      </c>
      <c r="R19" s="12">
        <f t="shared" si="4"/>
        <v>0.45</v>
      </c>
      <c r="S19" s="13">
        <f>+VLOOKUP(A19,'Datos Estudiantes'!A19:N38,14,TRUE)</f>
        <v>5</v>
      </c>
      <c r="T19" s="12">
        <f t="shared" si="5"/>
        <v>0.5</v>
      </c>
      <c r="U19" s="11">
        <f>+VLOOKUP(A19,'Datos Estudiantes'!A19:O38,15,TRUE)</f>
        <v>3.5</v>
      </c>
      <c r="V19" s="12">
        <f t="shared" si="6"/>
        <v>0.35000000000000003</v>
      </c>
      <c r="W19" s="12">
        <f t="shared" si="7"/>
        <v>4.1524999999999999</v>
      </c>
      <c r="X19" s="21" t="str">
        <f t="shared" si="8"/>
        <v>APROBO</v>
      </c>
    </row>
    <row r="20" spans="1:24" ht="17.25" thickTop="1" thickBot="1" x14ac:dyDescent="0.3">
      <c r="A20" s="34">
        <v>7</v>
      </c>
      <c r="B20" s="35" t="str">
        <f>+VLOOKUP(A20,'Datos Estudiantes'!A20:B39,2,TRUE)</f>
        <v>DEISY HERRERA</v>
      </c>
      <c r="C20" s="44">
        <f>+VLOOKUP(A20,'Datos Estudiantes'!A20:C39,3,TRUE)</f>
        <v>5</v>
      </c>
      <c r="D20" s="45">
        <f>+VLOOKUP(A20,'Datos Estudiantes'!A20:D39,4,TRUE)</f>
        <v>5</v>
      </c>
      <c r="E20" s="46">
        <f>+VLOOKUP(A20,'Datos Estudiantes'!A20:E39,5,TRUE)</f>
        <v>2.2999999999999998</v>
      </c>
      <c r="F20" s="47">
        <f>+VLOOKUP(A20,'Datos Estudiantes'!A20:F39,6,TRUE)</f>
        <v>5</v>
      </c>
      <c r="G20" s="44">
        <f>+VLOOKUP(A20,'Datos Estudiantes'!A20:G39,7,TRUE)</f>
        <v>3.8</v>
      </c>
      <c r="H20" s="45">
        <f>+VLOOKUP(A20,'Datos Estudiantes'!A20:H39,8,TRUE)</f>
        <v>4.8</v>
      </c>
      <c r="I20" s="46">
        <f>+VLOOKUP(A20,'Datos Estudiantes'!A20:I39,9,TRUE)</f>
        <v>4.5999999999999996</v>
      </c>
      <c r="J20" s="44">
        <f>+VLOOKUP(A20,'Datos Estudiantes'!A20:J39,10,TRUE)</f>
        <v>4.5</v>
      </c>
      <c r="K20" s="37">
        <f t="shared" si="0"/>
        <v>4.375</v>
      </c>
      <c r="L20" s="13">
        <f t="shared" si="1"/>
        <v>1.3125</v>
      </c>
      <c r="M20" s="11">
        <f>+VLOOKUP(A20,'Datos Estudiantes'!A20:K39,11,TRUE)</f>
        <v>2</v>
      </c>
      <c r="N20" s="12">
        <f t="shared" si="2"/>
        <v>0.4</v>
      </c>
      <c r="O20" s="11">
        <f>+VLOOKUP(A20,'Datos Estudiantes'!A20:L39,12,TRUE)</f>
        <v>5</v>
      </c>
      <c r="P20" s="12">
        <f t="shared" si="3"/>
        <v>1</v>
      </c>
      <c r="Q20" s="13">
        <f>+VLOOKUP(A20,'Datos Estudiantes'!A20:M39,13,TRUE)</f>
        <v>3.9</v>
      </c>
      <c r="R20" s="12">
        <f t="shared" si="4"/>
        <v>0.39</v>
      </c>
      <c r="S20" s="13">
        <f>+VLOOKUP(A20,'Datos Estudiantes'!A20:N39,14,TRUE)</f>
        <v>2</v>
      </c>
      <c r="T20" s="12">
        <f t="shared" si="5"/>
        <v>0.2</v>
      </c>
      <c r="U20" s="11">
        <f>+VLOOKUP(A20,'Datos Estudiantes'!A20:O39,15,TRUE)</f>
        <v>4.5</v>
      </c>
      <c r="V20" s="12">
        <f t="shared" si="6"/>
        <v>0.45</v>
      </c>
      <c r="W20" s="12">
        <f t="shared" si="7"/>
        <v>3.7525000000000004</v>
      </c>
      <c r="X20" s="21" t="str">
        <f t="shared" si="8"/>
        <v>APROBO</v>
      </c>
    </row>
    <row r="21" spans="1:24" ht="17.25" thickTop="1" thickBot="1" x14ac:dyDescent="0.3">
      <c r="A21" s="34">
        <v>8</v>
      </c>
      <c r="B21" s="35" t="str">
        <f>+VLOOKUP(A21,'Datos Estudiantes'!A21:B40,2,TRUE)</f>
        <v>DIANA VALENCIA</v>
      </c>
      <c r="C21" s="44">
        <f>+VLOOKUP(A21,'Datos Estudiantes'!A21:C40,3,TRUE)</f>
        <v>2.8</v>
      </c>
      <c r="D21" s="45">
        <f>+VLOOKUP(A21,'Datos Estudiantes'!A21:D40,4,TRUE)</f>
        <v>2.2999999999999998</v>
      </c>
      <c r="E21" s="46">
        <f>+VLOOKUP(A21,'Datos Estudiantes'!A21:E40,5,TRUE)</f>
        <v>2.9</v>
      </c>
      <c r="F21" s="47">
        <f>+VLOOKUP(A21,'Datos Estudiantes'!A21:F40,6,TRUE)</f>
        <v>1.9</v>
      </c>
      <c r="G21" s="44">
        <f>+VLOOKUP(A21,'Datos Estudiantes'!A21:G40,7,TRUE)</f>
        <v>0</v>
      </c>
      <c r="H21" s="45">
        <f>+VLOOKUP(A21,'Datos Estudiantes'!A21:H40,8,TRUE)</f>
        <v>1.6</v>
      </c>
      <c r="I21" s="46">
        <f>+VLOOKUP(A21,'Datos Estudiantes'!A21:I40,9,TRUE)</f>
        <v>1</v>
      </c>
      <c r="J21" s="44">
        <f>+VLOOKUP(A21,'Datos Estudiantes'!A21:J40,10,TRUE)</f>
        <v>1.8</v>
      </c>
      <c r="K21" s="37">
        <f t="shared" si="0"/>
        <v>1.7875000000000001</v>
      </c>
      <c r="L21" s="13">
        <f t="shared" si="1"/>
        <v>0.53625</v>
      </c>
      <c r="M21" s="11">
        <f>+VLOOKUP(A21,'Datos Estudiantes'!A21:K40,11,TRUE)</f>
        <v>3</v>
      </c>
      <c r="N21" s="12">
        <f t="shared" si="2"/>
        <v>0.60000000000000009</v>
      </c>
      <c r="O21" s="11">
        <f>+VLOOKUP(A21,'Datos Estudiantes'!A21:L40,12,TRUE)</f>
        <v>3.9</v>
      </c>
      <c r="P21" s="12">
        <f t="shared" si="3"/>
        <v>0.78</v>
      </c>
      <c r="Q21" s="13">
        <f>+VLOOKUP(A21,'Datos Estudiantes'!A21:M40,13,TRUE)</f>
        <v>3</v>
      </c>
      <c r="R21" s="12">
        <f t="shared" si="4"/>
        <v>0.30000000000000004</v>
      </c>
      <c r="S21" s="13">
        <f>+VLOOKUP(A21,'Datos Estudiantes'!A21:N40,14,TRUE)</f>
        <v>3.5</v>
      </c>
      <c r="T21" s="12">
        <f t="shared" si="5"/>
        <v>0.35000000000000003</v>
      </c>
      <c r="U21" s="11">
        <f>+VLOOKUP(A21,'Datos Estudiantes'!A21:O40,15,TRUE)</f>
        <v>4.2</v>
      </c>
      <c r="V21" s="12">
        <f t="shared" si="6"/>
        <v>0.42000000000000004</v>
      </c>
      <c r="W21" s="12">
        <f t="shared" si="7"/>
        <v>2.9862500000000001</v>
      </c>
      <c r="X21" s="21" t="str">
        <f t="shared" si="8"/>
        <v>REPROBO</v>
      </c>
    </row>
    <row r="22" spans="1:24" ht="17.25" thickTop="1" thickBot="1" x14ac:dyDescent="0.3">
      <c r="A22" s="34">
        <v>9</v>
      </c>
      <c r="B22" s="35" t="str">
        <f>+VLOOKUP(A22,'Datos Estudiantes'!A22:B41,2,TRUE)</f>
        <v>DIEGO GONZALEZ</v>
      </c>
      <c r="C22" s="44">
        <f>+VLOOKUP(A22,'Datos Estudiantes'!A22:C41,3,TRUE)</f>
        <v>0</v>
      </c>
      <c r="D22" s="45">
        <f>+VLOOKUP(A22,'Datos Estudiantes'!A22:D41,4,TRUE)</f>
        <v>3.9</v>
      </c>
      <c r="E22" s="46">
        <f>+VLOOKUP(A22,'Datos Estudiantes'!A22:E41,5,TRUE)</f>
        <v>4.2</v>
      </c>
      <c r="F22" s="47">
        <f>+VLOOKUP(A22,'Datos Estudiantes'!A22:F41,6,TRUE)</f>
        <v>4</v>
      </c>
      <c r="G22" s="44">
        <f>+VLOOKUP(A22,'Datos Estudiantes'!A22:G41,7,TRUE)</f>
        <v>1</v>
      </c>
      <c r="H22" s="45">
        <f>+VLOOKUP(A22,'Datos Estudiantes'!A22:H41,8,TRUE)</f>
        <v>5</v>
      </c>
      <c r="I22" s="46">
        <f>+VLOOKUP(A22,'Datos Estudiantes'!A22:I41,9,TRUE)</f>
        <v>3.2</v>
      </c>
      <c r="J22" s="44">
        <f>+VLOOKUP(A22,'Datos Estudiantes'!A22:J41,10,TRUE)</f>
        <v>2.5</v>
      </c>
      <c r="K22" s="37">
        <f t="shared" si="0"/>
        <v>2.9750000000000001</v>
      </c>
      <c r="L22" s="13">
        <f t="shared" si="1"/>
        <v>0.89249999999999996</v>
      </c>
      <c r="M22" s="11">
        <f>+VLOOKUP(A22,'Datos Estudiantes'!A22:K41,11,TRUE)</f>
        <v>2.5</v>
      </c>
      <c r="N22" s="12">
        <f t="shared" si="2"/>
        <v>0.5</v>
      </c>
      <c r="O22" s="11">
        <f>+VLOOKUP(A22,'Datos Estudiantes'!A22:L41,12,TRUE)</f>
        <v>1.3</v>
      </c>
      <c r="P22" s="12">
        <f t="shared" si="3"/>
        <v>0.26</v>
      </c>
      <c r="Q22" s="13">
        <f>+VLOOKUP(A22,'Datos Estudiantes'!A22:M41,13,TRUE)</f>
        <v>3.1</v>
      </c>
      <c r="R22" s="12">
        <f t="shared" si="4"/>
        <v>0.31000000000000005</v>
      </c>
      <c r="S22" s="13">
        <f>+VLOOKUP(A22,'Datos Estudiantes'!A22:N41,14,TRUE)</f>
        <v>2.2999999999999998</v>
      </c>
      <c r="T22" s="12">
        <f t="shared" si="5"/>
        <v>0.22999999999999998</v>
      </c>
      <c r="U22" s="11">
        <f>+VLOOKUP(A22,'Datos Estudiantes'!A22:O41,15,TRUE)</f>
        <v>2.2000000000000002</v>
      </c>
      <c r="V22" s="12">
        <f t="shared" si="6"/>
        <v>0.22000000000000003</v>
      </c>
      <c r="W22" s="12">
        <f t="shared" si="7"/>
        <v>2.4125000000000001</v>
      </c>
      <c r="X22" s="21" t="str">
        <f t="shared" si="8"/>
        <v>REPROBO</v>
      </c>
    </row>
    <row r="23" spans="1:24" ht="17.25" thickTop="1" thickBot="1" x14ac:dyDescent="0.3">
      <c r="A23" s="34">
        <v>10</v>
      </c>
      <c r="B23" s="35" t="str">
        <f>+VLOOKUP(A23,'Datos Estudiantes'!A23:B42,2,TRUE)</f>
        <v>ELEANY TRUJILLO</v>
      </c>
      <c r="C23" s="48">
        <f>+VLOOKUP(A23,'Datos Estudiantes'!A23:C42,3,TRUE)</f>
        <v>3</v>
      </c>
      <c r="D23" s="49">
        <f>+VLOOKUP(A23,'Datos Estudiantes'!A23:D42,4,TRUE)</f>
        <v>4.9000000000000004</v>
      </c>
      <c r="E23" s="50">
        <f>+VLOOKUP(A23,'Datos Estudiantes'!A23:E42,5,TRUE)</f>
        <v>4.5</v>
      </c>
      <c r="F23" s="51">
        <f>+VLOOKUP(A23,'Datos Estudiantes'!A23:F42,6,TRUE)</f>
        <v>5</v>
      </c>
      <c r="G23" s="48">
        <f>+VLOOKUP(A23,'Datos Estudiantes'!A23:G42,7,TRUE)</f>
        <v>3.5</v>
      </c>
      <c r="H23" s="49">
        <f>+VLOOKUP(A23,'Datos Estudiantes'!A23:H42,8,TRUE)</f>
        <v>4.3</v>
      </c>
      <c r="I23" s="50">
        <f>+VLOOKUP(A23,'Datos Estudiantes'!A23:I42,9,TRUE)</f>
        <v>5</v>
      </c>
      <c r="J23" s="48">
        <f>+VLOOKUP(A23,'Datos Estudiantes'!A23:J42,10,TRUE)</f>
        <v>4.8</v>
      </c>
      <c r="K23" s="37">
        <f t="shared" si="0"/>
        <v>4.375</v>
      </c>
      <c r="L23" s="13">
        <f t="shared" si="1"/>
        <v>1.3125</v>
      </c>
      <c r="M23" s="11">
        <f>+VLOOKUP(A23,'Datos Estudiantes'!A23:K42,11,TRUE)</f>
        <v>3.8</v>
      </c>
      <c r="N23" s="12">
        <f t="shared" si="2"/>
        <v>0.76</v>
      </c>
      <c r="O23" s="11">
        <f>+VLOOKUP(A23,'Datos Estudiantes'!A23:L42,12,TRUE)</f>
        <v>5</v>
      </c>
      <c r="P23" s="12">
        <f t="shared" si="3"/>
        <v>1</v>
      </c>
      <c r="Q23" s="13">
        <f>+VLOOKUP(A23,'Datos Estudiantes'!A23:M42,13,TRUE)</f>
        <v>5</v>
      </c>
      <c r="R23" s="12">
        <f t="shared" si="4"/>
        <v>0.5</v>
      </c>
      <c r="S23" s="13">
        <f>+VLOOKUP(A23,'Datos Estudiantes'!A23:N42,14,TRUE)</f>
        <v>4.8</v>
      </c>
      <c r="T23" s="12">
        <f t="shared" si="5"/>
        <v>0.48</v>
      </c>
      <c r="U23" s="11">
        <f>+VLOOKUP(A23,'Datos Estudiantes'!A23:O42,15,TRUE)</f>
        <v>4.5</v>
      </c>
      <c r="V23" s="12">
        <f t="shared" si="6"/>
        <v>0.45</v>
      </c>
      <c r="W23" s="12">
        <f t="shared" si="7"/>
        <v>4.5025000000000004</v>
      </c>
      <c r="X23" s="21" t="str">
        <f t="shared" si="8"/>
        <v>APROBO</v>
      </c>
    </row>
    <row r="24" spans="1:24" ht="17.25" thickTop="1" thickBot="1" x14ac:dyDescent="0.3">
      <c r="A24" s="34">
        <v>11</v>
      </c>
      <c r="B24" s="35" t="str">
        <f>+VLOOKUP(A24,'Datos Estudiantes'!A24:B43,2,TRUE)</f>
        <v>FREDY MONTES</v>
      </c>
      <c r="C24" s="44">
        <f>+VLOOKUP(A24,'Datos Estudiantes'!A24:C43,3,TRUE)</f>
        <v>0.9</v>
      </c>
      <c r="D24" s="45">
        <f>+VLOOKUP(A24,'Datos Estudiantes'!A24:D43,4,TRUE)</f>
        <v>4.8</v>
      </c>
      <c r="E24" s="46">
        <f>+VLOOKUP(A24,'Datos Estudiantes'!A24:E43,5,TRUE)</f>
        <v>4.9000000000000004</v>
      </c>
      <c r="F24" s="47">
        <f>+VLOOKUP(A24,'Datos Estudiantes'!A24:F43,6,TRUE)</f>
        <v>3.6</v>
      </c>
      <c r="G24" s="44">
        <f>+VLOOKUP(A24,'Datos Estudiantes'!A24:G43,7,TRUE)</f>
        <v>5</v>
      </c>
      <c r="H24" s="45">
        <f>+VLOOKUP(A24,'Datos Estudiantes'!A24:H43,8,TRUE)</f>
        <v>3.5</v>
      </c>
      <c r="I24" s="46">
        <f>+VLOOKUP(A24,'Datos Estudiantes'!A24:I43,9,TRUE)</f>
        <v>4.8</v>
      </c>
      <c r="J24" s="44">
        <f>+VLOOKUP(A24,'Datos Estudiantes'!A24:J43,10,TRUE)</f>
        <v>4.5999999999999996</v>
      </c>
      <c r="K24" s="37">
        <f t="shared" si="0"/>
        <v>4.0125000000000002</v>
      </c>
      <c r="L24" s="13">
        <f t="shared" si="1"/>
        <v>1.2037500000000001</v>
      </c>
      <c r="M24" s="11">
        <f>+VLOOKUP(A24,'Datos Estudiantes'!A24:K43,11,TRUE)</f>
        <v>4.5</v>
      </c>
      <c r="N24" s="12">
        <f t="shared" si="2"/>
        <v>0.9</v>
      </c>
      <c r="O24" s="11">
        <f>+VLOOKUP(A24,'Datos Estudiantes'!A24:L43,12,TRUE)</f>
        <v>5</v>
      </c>
      <c r="P24" s="12">
        <f t="shared" si="3"/>
        <v>1</v>
      </c>
      <c r="Q24" s="13">
        <f>+VLOOKUP(A24,'Datos Estudiantes'!A24:M43,13,TRUE)</f>
        <v>4.3</v>
      </c>
      <c r="R24" s="12">
        <f t="shared" si="4"/>
        <v>0.43</v>
      </c>
      <c r="S24" s="13">
        <f>+VLOOKUP(A24,'Datos Estudiantes'!A24:N43,14,TRUE)</f>
        <v>4.5999999999999996</v>
      </c>
      <c r="T24" s="12">
        <f t="shared" si="5"/>
        <v>0.45999999999999996</v>
      </c>
      <c r="U24" s="11">
        <f>+VLOOKUP(A24,'Datos Estudiantes'!A24:O43,15,TRUE)</f>
        <v>3</v>
      </c>
      <c r="V24" s="12">
        <f t="shared" si="6"/>
        <v>0.30000000000000004</v>
      </c>
      <c r="W24" s="12">
        <f t="shared" si="7"/>
        <v>4.2937500000000002</v>
      </c>
      <c r="X24" s="21" t="str">
        <f t="shared" si="8"/>
        <v>APROBO</v>
      </c>
    </row>
    <row r="25" spans="1:24" ht="17.25" thickTop="1" thickBot="1" x14ac:dyDescent="0.3">
      <c r="A25" s="34">
        <v>12</v>
      </c>
      <c r="B25" s="35" t="str">
        <f>+VLOOKUP(A25,'Datos Estudiantes'!A25:B44,2,TRUE)</f>
        <v>JHON TOBON</v>
      </c>
      <c r="C25" s="44">
        <f>+VLOOKUP(A25,'Datos Estudiantes'!A25:C44,3,TRUE)</f>
        <v>1.2</v>
      </c>
      <c r="D25" s="45">
        <f>+VLOOKUP(A25,'Datos Estudiantes'!A25:D44,4,TRUE)</f>
        <v>2.6</v>
      </c>
      <c r="E25" s="46">
        <f>+VLOOKUP(A25,'Datos Estudiantes'!A25:E44,5,TRUE)</f>
        <v>5</v>
      </c>
      <c r="F25" s="47">
        <f>+VLOOKUP(A25,'Datos Estudiantes'!A25:F44,6,TRUE)</f>
        <v>4.5</v>
      </c>
      <c r="G25" s="44">
        <f>+VLOOKUP(A25,'Datos Estudiantes'!A25:G44,7,TRUE)</f>
        <v>5</v>
      </c>
      <c r="H25" s="45">
        <f>+VLOOKUP(A25,'Datos Estudiantes'!A25:H44,8,TRUE)</f>
        <v>4.0999999999999996</v>
      </c>
      <c r="I25" s="46">
        <f>+VLOOKUP(A25,'Datos Estudiantes'!A25:I44,9,TRUE)</f>
        <v>3.8</v>
      </c>
      <c r="J25" s="44">
        <f>+VLOOKUP(A25,'Datos Estudiantes'!A25:J44,10,TRUE)</f>
        <v>2.2000000000000002</v>
      </c>
      <c r="K25" s="37">
        <f t="shared" si="0"/>
        <v>3.55</v>
      </c>
      <c r="L25" s="13">
        <f t="shared" si="1"/>
        <v>1.0649999999999999</v>
      </c>
      <c r="M25" s="11">
        <f>+VLOOKUP(A25,'Datos Estudiantes'!A25:K44,11,TRUE)</f>
        <v>4.5</v>
      </c>
      <c r="N25" s="12">
        <f t="shared" si="2"/>
        <v>0.9</v>
      </c>
      <c r="O25" s="11">
        <f>+VLOOKUP(A25,'Datos Estudiantes'!A25:L44,12,TRUE)</f>
        <v>4</v>
      </c>
      <c r="P25" s="12">
        <f t="shared" si="3"/>
        <v>0.8</v>
      </c>
      <c r="Q25" s="13">
        <f>+VLOOKUP(A25,'Datos Estudiantes'!A25:M44,13,TRUE)</f>
        <v>3.5</v>
      </c>
      <c r="R25" s="12">
        <f t="shared" si="4"/>
        <v>0.35000000000000003</v>
      </c>
      <c r="S25" s="13">
        <f>+VLOOKUP(A25,'Datos Estudiantes'!A25:N44,14,TRUE)</f>
        <v>4.8</v>
      </c>
      <c r="T25" s="12">
        <f t="shared" si="5"/>
        <v>0.48</v>
      </c>
      <c r="U25" s="11">
        <f>+VLOOKUP(A25,'Datos Estudiantes'!A25:O44,15,TRUE)</f>
        <v>4.3</v>
      </c>
      <c r="V25" s="12">
        <f t="shared" si="6"/>
        <v>0.43</v>
      </c>
      <c r="W25" s="12">
        <f t="shared" si="7"/>
        <v>4.0249999999999995</v>
      </c>
      <c r="X25" s="21" t="str">
        <f t="shared" si="8"/>
        <v>APROBO</v>
      </c>
    </row>
    <row r="26" spans="1:24" ht="17.25" thickTop="1" thickBot="1" x14ac:dyDescent="0.3">
      <c r="A26" s="34">
        <v>13</v>
      </c>
      <c r="B26" s="35" t="str">
        <f>+VLOOKUP(A26,'Datos Estudiantes'!A26:B45,2,TRUE)</f>
        <v>JOSE CIFUENTES</v>
      </c>
      <c r="C26" s="44">
        <f>+VLOOKUP(A26,'Datos Estudiantes'!A26:C45,3,TRUE)</f>
        <v>5</v>
      </c>
      <c r="D26" s="45">
        <f>+VLOOKUP(A26,'Datos Estudiantes'!A26:D45,4,TRUE)</f>
        <v>5</v>
      </c>
      <c r="E26" s="46">
        <f>+VLOOKUP(A26,'Datos Estudiantes'!A26:E45,5,TRUE)</f>
        <v>5</v>
      </c>
      <c r="F26" s="47">
        <f>+VLOOKUP(A26,'Datos Estudiantes'!A26:F45,6,TRUE)</f>
        <v>2.9</v>
      </c>
      <c r="G26" s="44">
        <f>+VLOOKUP(A26,'Datos Estudiantes'!A26:G45,7,TRUE)</f>
        <v>5</v>
      </c>
      <c r="H26" s="45">
        <f>+VLOOKUP(A26,'Datos Estudiantes'!A26:H45,8,TRUE)</f>
        <v>3.8</v>
      </c>
      <c r="I26" s="46">
        <f>+VLOOKUP(A26,'Datos Estudiantes'!A26:I45,9,TRUE)</f>
        <v>4.2</v>
      </c>
      <c r="J26" s="44">
        <f>+VLOOKUP(A26,'Datos Estudiantes'!A26:J45,10,TRUE)</f>
        <v>4</v>
      </c>
      <c r="K26" s="37">
        <f t="shared" si="0"/>
        <v>4.3624999999999998</v>
      </c>
      <c r="L26" s="13">
        <f t="shared" si="1"/>
        <v>1.3087499999999999</v>
      </c>
      <c r="M26" s="11">
        <f>+VLOOKUP(A26,'Datos Estudiantes'!A26:K45,11,TRUE)</f>
        <v>4.5</v>
      </c>
      <c r="N26" s="12">
        <f t="shared" si="2"/>
        <v>0.9</v>
      </c>
      <c r="O26" s="11">
        <f>+VLOOKUP(A26,'Datos Estudiantes'!A26:L45,12,TRUE)</f>
        <v>4</v>
      </c>
      <c r="P26" s="12">
        <f t="shared" si="3"/>
        <v>0.8</v>
      </c>
      <c r="Q26" s="13">
        <f>+VLOOKUP(A26,'Datos Estudiantes'!A26:M45,13,TRUE)</f>
        <v>4.0999999999999996</v>
      </c>
      <c r="R26" s="12">
        <f t="shared" si="4"/>
        <v>0.41</v>
      </c>
      <c r="S26" s="13">
        <f>+VLOOKUP(A26,'Datos Estudiantes'!A26:N45,14,TRUE)</f>
        <v>3.1</v>
      </c>
      <c r="T26" s="12">
        <f t="shared" si="5"/>
        <v>0.31000000000000005</v>
      </c>
      <c r="U26" s="11">
        <f>+VLOOKUP(A26,'Datos Estudiantes'!A26:O45,15,TRUE)</f>
        <v>4.5</v>
      </c>
      <c r="V26" s="12">
        <f t="shared" si="6"/>
        <v>0.45</v>
      </c>
      <c r="W26" s="12">
        <f t="shared" si="7"/>
        <v>4.17875</v>
      </c>
      <c r="X26" s="21" t="str">
        <f t="shared" si="8"/>
        <v>APROBO</v>
      </c>
    </row>
    <row r="27" spans="1:24" ht="17.25" thickTop="1" thickBot="1" x14ac:dyDescent="0.3">
      <c r="A27" s="34">
        <v>14</v>
      </c>
      <c r="B27" s="38" t="str">
        <f>+VLOOKUP(A27,'Datos Estudiantes'!A27:B46,2,TRUE)</f>
        <v>JOSE DAVID VERGARA</v>
      </c>
      <c r="C27" s="48">
        <f>+VLOOKUP(A27,'Datos Estudiantes'!A27:C46,3,TRUE)</f>
        <v>5</v>
      </c>
      <c r="D27" s="49">
        <f>+VLOOKUP(A27,'Datos Estudiantes'!A27:D46,4,TRUE)</f>
        <v>4.5</v>
      </c>
      <c r="E27" s="50">
        <f>+VLOOKUP(A27,'Datos Estudiantes'!A27:E46,5,TRUE)</f>
        <v>5</v>
      </c>
      <c r="F27" s="51">
        <f>+VLOOKUP(A27,'Datos Estudiantes'!A27:F46,6,TRUE)</f>
        <v>3.2</v>
      </c>
      <c r="G27" s="48">
        <f>+VLOOKUP(A27,'Datos Estudiantes'!A27:G46,7,TRUE)</f>
        <v>4.5</v>
      </c>
      <c r="H27" s="49">
        <f>+VLOOKUP(A27,'Datos Estudiantes'!A27:H46,8,TRUE)</f>
        <v>4</v>
      </c>
      <c r="I27" s="50">
        <f>+VLOOKUP(A27,'Datos Estudiantes'!A27:I46,9,TRUE)</f>
        <v>4.8</v>
      </c>
      <c r="J27" s="48">
        <f>+VLOOKUP(A27,'Datos Estudiantes'!A27:J46,10,TRUE)</f>
        <v>5</v>
      </c>
      <c r="K27" s="37">
        <f t="shared" si="0"/>
        <v>4.5</v>
      </c>
      <c r="L27" s="13">
        <f t="shared" si="1"/>
        <v>1.3499999999999999</v>
      </c>
      <c r="M27" s="11">
        <f>+VLOOKUP(A27,'Datos Estudiantes'!A27:K46,11,TRUE)</f>
        <v>3.9</v>
      </c>
      <c r="N27" s="12">
        <f t="shared" si="2"/>
        <v>0.78</v>
      </c>
      <c r="O27" s="11">
        <f>+VLOOKUP(A27,'Datos Estudiantes'!A27:L46,12,TRUE)</f>
        <v>3.6</v>
      </c>
      <c r="P27" s="12">
        <f t="shared" si="3"/>
        <v>0.72000000000000008</v>
      </c>
      <c r="Q27" s="13">
        <f>+VLOOKUP(A27,'Datos Estudiantes'!A27:M46,13,TRUE)</f>
        <v>3.8</v>
      </c>
      <c r="R27" s="12">
        <f t="shared" si="4"/>
        <v>0.38</v>
      </c>
      <c r="S27" s="13">
        <f>+VLOOKUP(A27,'Datos Estudiantes'!A27:N46,14,TRUE)</f>
        <v>5</v>
      </c>
      <c r="T27" s="12">
        <f t="shared" si="5"/>
        <v>0.5</v>
      </c>
      <c r="U27" s="11">
        <f>+VLOOKUP(A27,'Datos Estudiantes'!A27:O46,15,TRUE)</f>
        <v>3</v>
      </c>
      <c r="V27" s="12">
        <f t="shared" si="6"/>
        <v>0.30000000000000004</v>
      </c>
      <c r="W27" s="12">
        <f t="shared" si="7"/>
        <v>4.03</v>
      </c>
      <c r="X27" s="21" t="str">
        <f t="shared" si="8"/>
        <v>APROBO</v>
      </c>
    </row>
    <row r="28" spans="1:24" ht="17.25" thickTop="1" thickBot="1" x14ac:dyDescent="0.3">
      <c r="A28" s="34">
        <v>15</v>
      </c>
      <c r="B28" s="35" t="str">
        <f>+VLOOKUP(A28,'Datos Estudiantes'!A28:B47,2,TRUE)</f>
        <v>LAURA GONZALEZ</v>
      </c>
      <c r="C28" s="48">
        <f>+VLOOKUP(A28,'Datos Estudiantes'!A28:C47,3,TRUE)</f>
        <v>5</v>
      </c>
      <c r="D28" s="49">
        <f>+VLOOKUP(A28,'Datos Estudiantes'!A28:D47,4,TRUE)</f>
        <v>4.2</v>
      </c>
      <c r="E28" s="50">
        <f>+VLOOKUP(A28,'Datos Estudiantes'!A28:E47,5,TRUE)</f>
        <v>4.5</v>
      </c>
      <c r="F28" s="51">
        <f>+VLOOKUP(A28,'Datos Estudiantes'!A28:F47,6,TRUE)</f>
        <v>2.5</v>
      </c>
      <c r="G28" s="48">
        <f>+VLOOKUP(A28,'Datos Estudiantes'!A28:G47,7,TRUE)</f>
        <v>5</v>
      </c>
      <c r="H28" s="49">
        <f>+VLOOKUP(A28,'Datos Estudiantes'!A28:H47,8,TRUE)</f>
        <v>3.9</v>
      </c>
      <c r="I28" s="50">
        <f>+VLOOKUP(A28,'Datos Estudiantes'!A28:I47,9,TRUE)</f>
        <v>5</v>
      </c>
      <c r="J28" s="48">
        <f>+VLOOKUP(A28,'Datos Estudiantes'!A28:J47,10,TRUE)</f>
        <v>4.8</v>
      </c>
      <c r="K28" s="37">
        <f t="shared" si="0"/>
        <v>4.3624999999999998</v>
      </c>
      <c r="L28" s="13">
        <f t="shared" si="1"/>
        <v>1.3087499999999999</v>
      </c>
      <c r="M28" s="11">
        <f>+VLOOKUP(A28,'Datos Estudiantes'!A28:K47,11,TRUE)</f>
        <v>0</v>
      </c>
      <c r="N28" s="12">
        <f t="shared" si="2"/>
        <v>0</v>
      </c>
      <c r="O28" s="11">
        <f>+VLOOKUP(A28,'Datos Estudiantes'!A28:L47,12,TRUE)</f>
        <v>3.1</v>
      </c>
      <c r="P28" s="12">
        <f t="shared" si="3"/>
        <v>0.62000000000000011</v>
      </c>
      <c r="Q28" s="13">
        <f>+VLOOKUP(A28,'Datos Estudiantes'!A28:M47,13,TRUE)</f>
        <v>4</v>
      </c>
      <c r="R28" s="12">
        <f t="shared" si="4"/>
        <v>0.4</v>
      </c>
      <c r="S28" s="13">
        <f>+VLOOKUP(A28,'Datos Estudiantes'!A28:N47,14,TRUE)</f>
        <v>4.3</v>
      </c>
      <c r="T28" s="12">
        <f t="shared" si="5"/>
        <v>0.43</v>
      </c>
      <c r="U28" s="11">
        <f>+VLOOKUP(A28,'Datos Estudiantes'!A28:O47,15,TRUE)</f>
        <v>4</v>
      </c>
      <c r="V28" s="12">
        <f t="shared" si="6"/>
        <v>0.4</v>
      </c>
      <c r="W28" s="12">
        <f t="shared" si="7"/>
        <v>3.1587499999999999</v>
      </c>
      <c r="X28" s="21" t="str">
        <f t="shared" si="8"/>
        <v>APROBO</v>
      </c>
    </row>
    <row r="29" spans="1:24" ht="17.25" thickTop="1" thickBot="1" x14ac:dyDescent="0.3">
      <c r="A29" s="34">
        <v>16</v>
      </c>
      <c r="B29" s="35" t="str">
        <f>+VLOOKUP(A29,'Datos Estudiantes'!A29:B48,2,TRUE)</f>
        <v>LINA JARAMILLO</v>
      </c>
      <c r="C29" s="44">
        <f>+VLOOKUP(A29,'Datos Estudiantes'!A29:C48,3,TRUE)</f>
        <v>4.9000000000000004</v>
      </c>
      <c r="D29" s="45">
        <f>+VLOOKUP(A29,'Datos Estudiantes'!A29:D48,4,TRUE)</f>
        <v>3.2</v>
      </c>
      <c r="E29" s="46">
        <f>+VLOOKUP(A29,'Datos Estudiantes'!A29:E48,5,TRUE)</f>
        <v>4.9000000000000004</v>
      </c>
      <c r="F29" s="47">
        <f>+VLOOKUP(A29,'Datos Estudiantes'!A29:F48,6,TRUE)</f>
        <v>3.5</v>
      </c>
      <c r="G29" s="44">
        <f>+VLOOKUP(A29,'Datos Estudiantes'!A29:G48,7,TRUE)</f>
        <v>3.9</v>
      </c>
      <c r="H29" s="45">
        <f>+VLOOKUP(A29,'Datos Estudiantes'!A29:H48,8,TRUE)</f>
        <v>4.5</v>
      </c>
      <c r="I29" s="46">
        <f>+VLOOKUP(A29,'Datos Estudiantes'!A29:I48,9,TRUE)</f>
        <v>3.5</v>
      </c>
      <c r="J29" s="44">
        <f>+VLOOKUP(A29,'Datos Estudiantes'!A29:J48,10,TRUE)</f>
        <v>4.5</v>
      </c>
      <c r="K29" s="37">
        <f t="shared" si="0"/>
        <v>4.1124999999999998</v>
      </c>
      <c r="L29" s="13">
        <f t="shared" si="1"/>
        <v>1.2337499999999999</v>
      </c>
      <c r="M29" s="11">
        <f>+VLOOKUP(A29,'Datos Estudiantes'!A29:K48,11,TRUE)</f>
        <v>4.8</v>
      </c>
      <c r="N29" s="12">
        <f t="shared" si="2"/>
        <v>0.96</v>
      </c>
      <c r="O29" s="11">
        <f>+VLOOKUP(A29,'Datos Estudiantes'!A29:L48,12,TRUE)</f>
        <v>3.7</v>
      </c>
      <c r="P29" s="12">
        <f t="shared" si="3"/>
        <v>0.7400000000000001</v>
      </c>
      <c r="Q29" s="13">
        <f>+VLOOKUP(A29,'Datos Estudiantes'!A29:M48,13,TRUE)</f>
        <v>3.9</v>
      </c>
      <c r="R29" s="12">
        <f t="shared" si="4"/>
        <v>0.39</v>
      </c>
      <c r="S29" s="13">
        <f>+VLOOKUP(A29,'Datos Estudiantes'!A29:N48,14,TRUE)</f>
        <v>3.5</v>
      </c>
      <c r="T29" s="12">
        <f t="shared" si="5"/>
        <v>0.35000000000000003</v>
      </c>
      <c r="U29" s="11">
        <f>+VLOOKUP(A29,'Datos Estudiantes'!A29:O48,15,TRUE)</f>
        <v>3.5</v>
      </c>
      <c r="V29" s="12">
        <f t="shared" si="6"/>
        <v>0.35000000000000003</v>
      </c>
      <c r="W29" s="12">
        <f t="shared" si="7"/>
        <v>4.0237499999999997</v>
      </c>
      <c r="X29" s="21" t="str">
        <f t="shared" si="8"/>
        <v>APROBO</v>
      </c>
    </row>
    <row r="30" spans="1:24" ht="17.25" thickTop="1" thickBot="1" x14ac:dyDescent="0.3">
      <c r="A30" s="34">
        <v>17</v>
      </c>
      <c r="B30" s="35" t="str">
        <f>+VLOOKUP(A30,'Datos Estudiantes'!A30:B49,2,TRUE)</f>
        <v>OSMAIRA VELEZ</v>
      </c>
      <c r="C30" s="44">
        <f>+VLOOKUP(A30,'Datos Estudiantes'!A30:C49,3,TRUE)</f>
        <v>3.9</v>
      </c>
      <c r="D30" s="45">
        <f>+VLOOKUP(A30,'Datos Estudiantes'!A30:D49,4,TRUE)</f>
        <v>5</v>
      </c>
      <c r="E30" s="46">
        <f>+VLOOKUP(A30,'Datos Estudiantes'!A30:E49,5,TRUE)</f>
        <v>4.8</v>
      </c>
      <c r="F30" s="47">
        <f>+VLOOKUP(A30,'Datos Estudiantes'!A30:F49,6,TRUE)</f>
        <v>4</v>
      </c>
      <c r="G30" s="44">
        <f>+VLOOKUP(A30,'Datos Estudiantes'!A30:G49,7,TRUE)</f>
        <v>5</v>
      </c>
      <c r="H30" s="45">
        <f>+VLOOKUP(A30,'Datos Estudiantes'!A30:H49,8,TRUE)</f>
        <v>5</v>
      </c>
      <c r="I30" s="46">
        <f>+VLOOKUP(A30,'Datos Estudiantes'!A30:I49,9,TRUE)</f>
        <v>2.2999999999999998</v>
      </c>
      <c r="J30" s="44">
        <f>+VLOOKUP(A30,'Datos Estudiantes'!A30:J49,10,TRUE)</f>
        <v>5</v>
      </c>
      <c r="K30" s="37">
        <f t="shared" si="0"/>
        <v>4.375</v>
      </c>
      <c r="L30" s="13">
        <f t="shared" si="1"/>
        <v>1.3125</v>
      </c>
      <c r="M30" s="11">
        <f>+VLOOKUP(A30,'Datos Estudiantes'!A30:K49,11,TRUE)</f>
        <v>3.7</v>
      </c>
      <c r="N30" s="12">
        <f t="shared" si="2"/>
        <v>0.7400000000000001</v>
      </c>
      <c r="O30" s="11">
        <f>+VLOOKUP(A30,'Datos Estudiantes'!A30:L49,12,TRUE)</f>
        <v>4.5</v>
      </c>
      <c r="P30" s="12">
        <f t="shared" si="3"/>
        <v>0.9</v>
      </c>
      <c r="Q30" s="13">
        <f>+VLOOKUP(A30,'Datos Estudiantes'!A30:M49,13,TRUE)</f>
        <v>4.5</v>
      </c>
      <c r="R30" s="12">
        <f t="shared" si="4"/>
        <v>0.45</v>
      </c>
      <c r="S30" s="13">
        <f>+VLOOKUP(A30,'Datos Estudiantes'!A30:N49,14,TRUE)</f>
        <v>4.0999999999999996</v>
      </c>
      <c r="T30" s="12">
        <f t="shared" si="5"/>
        <v>0.41</v>
      </c>
      <c r="U30" s="11">
        <f>+VLOOKUP(A30,'Datos Estudiantes'!A30:O49,15,TRUE)</f>
        <v>4.5</v>
      </c>
      <c r="V30" s="12">
        <f t="shared" si="6"/>
        <v>0.45</v>
      </c>
      <c r="W30" s="12">
        <f t="shared" si="7"/>
        <v>4.2625000000000002</v>
      </c>
      <c r="X30" s="21" t="str">
        <f t="shared" si="8"/>
        <v>APROBO</v>
      </c>
    </row>
    <row r="31" spans="1:24" ht="17.25" thickTop="1" thickBot="1" x14ac:dyDescent="0.3">
      <c r="A31" s="34">
        <v>18</v>
      </c>
      <c r="B31" s="35" t="str">
        <f>+VLOOKUP(A31,'Datos Estudiantes'!A31:B50,2,TRUE)</f>
        <v>PABLO GOMEZ</v>
      </c>
      <c r="C31" s="48">
        <f>+VLOOKUP(A31,'Datos Estudiantes'!A31:C50,3,TRUE)</f>
        <v>3.8</v>
      </c>
      <c r="D31" s="49">
        <f>+VLOOKUP(A31,'Datos Estudiantes'!A31:D50,4,TRUE)</f>
        <v>4.8</v>
      </c>
      <c r="E31" s="50">
        <f>+VLOOKUP(A31,'Datos Estudiantes'!A31:E50,5,TRUE)</f>
        <v>4.5999999999999996</v>
      </c>
      <c r="F31" s="51">
        <f>+VLOOKUP(A31,'Datos Estudiantes'!A31:F50,6,TRUE)</f>
        <v>5</v>
      </c>
      <c r="G31" s="48">
        <f>+VLOOKUP(A31,'Datos Estudiantes'!A31:G50,7,TRUE)</f>
        <v>5</v>
      </c>
      <c r="H31" s="49">
        <f>+VLOOKUP(A31,'Datos Estudiantes'!A31:H50,8,TRUE)</f>
        <v>3.4</v>
      </c>
      <c r="I31" s="50">
        <f>+VLOOKUP(A31,'Datos Estudiantes'!A31:I50,9,TRUE)</f>
        <v>2.9</v>
      </c>
      <c r="J31" s="48">
        <f>+VLOOKUP(A31,'Datos Estudiantes'!A31:J50,10,TRUE)</f>
        <v>1</v>
      </c>
      <c r="K31" s="13">
        <f t="shared" si="0"/>
        <v>3.8124999999999996</v>
      </c>
      <c r="L31" s="13">
        <f t="shared" si="1"/>
        <v>1.1437499999999998</v>
      </c>
      <c r="M31" s="11">
        <f>+VLOOKUP(A31,'Datos Estudiantes'!A31:K50,11,TRUE)</f>
        <v>3.8</v>
      </c>
      <c r="N31" s="12">
        <f t="shared" si="2"/>
        <v>0.76</v>
      </c>
      <c r="O31" s="11">
        <f>+VLOOKUP(A31,'Datos Estudiantes'!A31:L50,12,TRUE)</f>
        <v>5</v>
      </c>
      <c r="P31" s="12">
        <f t="shared" si="3"/>
        <v>1</v>
      </c>
      <c r="Q31" s="13">
        <f>+VLOOKUP(A31,'Datos Estudiantes'!A31:M50,13,TRUE)</f>
        <v>5</v>
      </c>
      <c r="R31" s="12">
        <f t="shared" si="4"/>
        <v>0.5</v>
      </c>
      <c r="S31" s="13">
        <f>+VLOOKUP(A31,'Datos Estudiantes'!A31:N50,14,TRUE)</f>
        <v>3.8</v>
      </c>
      <c r="T31" s="12">
        <f t="shared" si="5"/>
        <v>0.38</v>
      </c>
      <c r="U31" s="11">
        <f>+VLOOKUP(A31,'Datos Estudiantes'!A31:O50,15,TRUE)</f>
        <v>4.5</v>
      </c>
      <c r="V31" s="12">
        <f t="shared" si="6"/>
        <v>0.45</v>
      </c>
      <c r="W31" s="12">
        <f t="shared" si="7"/>
        <v>4.2337499999999997</v>
      </c>
      <c r="X31" s="21" t="str">
        <f t="shared" si="8"/>
        <v>APROBO</v>
      </c>
    </row>
    <row r="32" spans="1:24" ht="17.25" thickTop="1" thickBot="1" x14ac:dyDescent="0.3">
      <c r="A32" s="34">
        <v>19</v>
      </c>
      <c r="B32" s="35" t="str">
        <f>+VLOOKUP(A32,'Datos Estudiantes'!A32:B51,2,TRUE)</f>
        <v>ROBINSON VARGAS</v>
      </c>
      <c r="C32" s="48">
        <f>+VLOOKUP(A32,'Datos Estudiantes'!A32:C51,3,TRUE)</f>
        <v>5</v>
      </c>
      <c r="D32" s="49">
        <f>+VLOOKUP(A32,'Datos Estudiantes'!A32:D51,4,TRUE)</f>
        <v>4.9000000000000004</v>
      </c>
      <c r="E32" s="50">
        <f>+VLOOKUP(A32,'Datos Estudiantes'!A32:E51,5,TRUE)</f>
        <v>4.2</v>
      </c>
      <c r="F32" s="51">
        <f>+VLOOKUP(A32,'Datos Estudiantes'!A32:F51,6,TRUE)</f>
        <v>4</v>
      </c>
      <c r="G32" s="48">
        <f>+VLOOKUP(A32,'Datos Estudiantes'!A32:G51,7,TRUE)</f>
        <v>4.8</v>
      </c>
      <c r="H32" s="49">
        <f>+VLOOKUP(A32,'Datos Estudiantes'!A32:H51,8,TRUE)</f>
        <v>5</v>
      </c>
      <c r="I32" s="50">
        <f>+VLOOKUP(A32,'Datos Estudiantes'!A32:I51,9,TRUE)</f>
        <v>4.5999999999999996</v>
      </c>
      <c r="J32" s="48">
        <f>+VLOOKUP(A32,'Datos Estudiantes'!A32:J51,10,TRUE)</f>
        <v>4.5</v>
      </c>
      <c r="K32" s="13">
        <f t="shared" si="0"/>
        <v>4.625</v>
      </c>
      <c r="L32" s="13">
        <f t="shared" si="1"/>
        <v>1.3875</v>
      </c>
      <c r="M32" s="11">
        <f>+VLOOKUP(A32,'Datos Estudiantes'!A32:K51,11,TRUE)</f>
        <v>3.5</v>
      </c>
      <c r="N32" s="12">
        <f t="shared" si="2"/>
        <v>0.70000000000000007</v>
      </c>
      <c r="O32" s="11">
        <f>+VLOOKUP(A32,'Datos Estudiantes'!A32:L51,12,TRUE)</f>
        <v>5</v>
      </c>
      <c r="P32" s="12">
        <f t="shared" si="3"/>
        <v>1</v>
      </c>
      <c r="Q32" s="13">
        <f>+VLOOKUP(A32,'Datos Estudiantes'!A32:M51,13,TRUE)</f>
        <v>4</v>
      </c>
      <c r="R32" s="12">
        <f t="shared" si="4"/>
        <v>0.4</v>
      </c>
      <c r="S32" s="13">
        <f>+VLOOKUP(A32,'Datos Estudiantes'!A32:N51,14,TRUE)</f>
        <v>4</v>
      </c>
      <c r="T32" s="12">
        <f t="shared" si="5"/>
        <v>0.4</v>
      </c>
      <c r="U32" s="11">
        <f>+VLOOKUP(A32,'Datos Estudiantes'!A32:O51,15,TRUE)</f>
        <v>4.5</v>
      </c>
      <c r="V32" s="12">
        <f t="shared" si="6"/>
        <v>0.45</v>
      </c>
      <c r="W32" s="12">
        <f t="shared" si="7"/>
        <v>4.3374999999999995</v>
      </c>
      <c r="X32" s="21" t="str">
        <f t="shared" si="8"/>
        <v>APROBO</v>
      </c>
    </row>
    <row r="33" spans="1:24" ht="17.25" thickTop="1" thickBot="1" x14ac:dyDescent="0.3">
      <c r="A33" s="34">
        <v>20</v>
      </c>
      <c r="B33" s="35" t="str">
        <f>+VLOOKUP(A33,'Datos Estudiantes'!A33:B52,2,TRUE)</f>
        <v>SANDRA MONTOYA</v>
      </c>
      <c r="C33" s="48">
        <f>+VLOOKUP(A33,'Datos Estudiantes'!A33:C52,3,TRUE)</f>
        <v>4</v>
      </c>
      <c r="D33" s="49">
        <f>+VLOOKUP(A33,'Datos Estudiantes'!A33:D52,4,TRUE)</f>
        <v>5</v>
      </c>
      <c r="E33" s="50">
        <f>+VLOOKUP(A33,'Datos Estudiantes'!A33:E52,5,TRUE)</f>
        <v>3.6</v>
      </c>
      <c r="F33" s="51">
        <f>+VLOOKUP(A33,'Datos Estudiantes'!A33:F52,6,TRUE)</f>
        <v>4</v>
      </c>
      <c r="G33" s="48">
        <f>+VLOOKUP(A33,'Datos Estudiantes'!A33:G52,7,TRUE)</f>
        <v>4.8</v>
      </c>
      <c r="H33" s="49">
        <f>+VLOOKUP(A33,'Datos Estudiantes'!A33:H52,8,TRUE)</f>
        <v>3.2</v>
      </c>
      <c r="I33" s="50">
        <f>+VLOOKUP(A33,'Datos Estudiantes'!A33:I52,9,TRUE)</f>
        <v>4.5</v>
      </c>
      <c r="J33" s="48">
        <f>+VLOOKUP(A33,'Datos Estudiantes'!A33:J52,10,TRUE)</f>
        <v>4.5999999999999996</v>
      </c>
      <c r="K33" s="39">
        <f t="shared" si="0"/>
        <v>4.2125000000000004</v>
      </c>
      <c r="L33" s="13">
        <f t="shared" si="1"/>
        <v>1.2637500000000002</v>
      </c>
      <c r="M33" s="11">
        <f>+VLOOKUP(A33,'Datos Estudiantes'!A33:K52,11,TRUE)</f>
        <v>4</v>
      </c>
      <c r="N33" s="12">
        <f t="shared" si="2"/>
        <v>0.8</v>
      </c>
      <c r="O33" s="11">
        <f>+VLOOKUP(A33,'Datos Estudiantes'!A33:L52,12,TRUE)</f>
        <v>5</v>
      </c>
      <c r="P33" s="12">
        <f t="shared" si="3"/>
        <v>1</v>
      </c>
      <c r="Q33" s="13">
        <f>+VLOOKUP(A33,'Datos Estudiantes'!A33:M52,13,TRUE)</f>
        <v>4</v>
      </c>
      <c r="R33" s="12">
        <f>Q33*10%</f>
        <v>0.4</v>
      </c>
      <c r="S33" s="13">
        <f>+VLOOKUP(A33,'Datos Estudiantes'!A33:N52,14,TRUE)</f>
        <v>3.9</v>
      </c>
      <c r="T33" s="12">
        <f t="shared" si="5"/>
        <v>0.39</v>
      </c>
      <c r="U33" s="11">
        <f>+VLOOKUP(A33,'Datos Estudiantes'!A33:O52,15,TRUE)</f>
        <v>3.5</v>
      </c>
      <c r="V33" s="12">
        <f>U33*10%</f>
        <v>0.35000000000000003</v>
      </c>
      <c r="W33" s="12">
        <f t="shared" si="7"/>
        <v>4.2037500000000003</v>
      </c>
      <c r="X33" s="21" t="str">
        <f t="shared" si="8"/>
        <v>APROBO</v>
      </c>
    </row>
    <row r="34" spans="1:24" ht="17.25" thickTop="1" thickBot="1" x14ac:dyDescent="0.3">
      <c r="S34" s="4"/>
    </row>
    <row r="35" spans="1:24" ht="17.25" thickTop="1" thickBot="1" x14ac:dyDescent="0.3">
      <c r="W35" s="17" t="s">
        <v>35</v>
      </c>
      <c r="X35" s="15">
        <f>MAX(W14:W33)</f>
        <v>4.5025000000000004</v>
      </c>
    </row>
    <row r="36" spans="1:24" ht="17.25" thickTop="1" thickBot="1" x14ac:dyDescent="0.3">
      <c r="L36" s="2"/>
      <c r="W36" s="17" t="s">
        <v>36</v>
      </c>
      <c r="X36" s="15">
        <f>MIN(W14:W33)</f>
        <v>2.4125000000000001</v>
      </c>
    </row>
    <row r="37" spans="1:24" ht="17.25" thickTop="1" thickBot="1" x14ac:dyDescent="0.3">
      <c r="W37" s="17" t="s">
        <v>37</v>
      </c>
      <c r="X37" s="15">
        <f>AVERAGE(W14:W33)</f>
        <v>3.8843750000000008</v>
      </c>
    </row>
    <row r="38" spans="1:24" ht="16.5" thickTop="1" x14ac:dyDescent="0.25">
      <c r="T38" s="16"/>
    </row>
  </sheetData>
  <mergeCells count="5"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workbookViewId="0">
      <selection activeCell="D14" sqref="D14"/>
    </sheetView>
  </sheetViews>
  <sheetFormatPr baseColWidth="10" defaultRowHeight="15" x14ac:dyDescent="0.25"/>
  <cols>
    <col min="1" max="1" width="13.28515625" customWidth="1"/>
    <col min="2" max="2" width="5.140625" customWidth="1"/>
    <col min="3" max="3" width="12.85546875" bestFit="1" customWidth="1"/>
    <col min="4" max="4" width="49.85546875" customWidth="1"/>
    <col min="5" max="5" width="3.7109375" customWidth="1"/>
  </cols>
  <sheetData>
    <row r="2" spans="2:5" x14ac:dyDescent="0.25">
      <c r="B2" s="22"/>
      <c r="C2" s="22"/>
      <c r="D2" s="22"/>
      <c r="E2" s="22"/>
    </row>
    <row r="3" spans="2:5" x14ac:dyDescent="0.25">
      <c r="B3" s="22"/>
      <c r="D3" s="33" t="s">
        <v>45</v>
      </c>
      <c r="E3" s="22"/>
    </row>
    <row r="4" spans="2:5" x14ac:dyDescent="0.25">
      <c r="B4" s="22"/>
      <c r="D4" s="33"/>
      <c r="E4" s="22"/>
    </row>
    <row r="5" spans="2:5" x14ac:dyDescent="0.25">
      <c r="B5" s="22"/>
      <c r="D5" s="33"/>
      <c r="E5" s="22"/>
    </row>
    <row r="6" spans="2:5" x14ac:dyDescent="0.25">
      <c r="B6" s="22"/>
      <c r="C6" t="s">
        <v>38</v>
      </c>
      <c r="E6" s="22"/>
    </row>
    <row r="7" spans="2:5" x14ac:dyDescent="0.25">
      <c r="B7" s="22"/>
      <c r="C7" t="s">
        <v>39</v>
      </c>
      <c r="E7" s="22"/>
    </row>
    <row r="8" spans="2:5" x14ac:dyDescent="0.25">
      <c r="B8" s="22"/>
      <c r="C8" t="s">
        <v>40</v>
      </c>
      <c r="E8" s="22"/>
    </row>
    <row r="9" spans="2:5" x14ac:dyDescent="0.25">
      <c r="B9" s="22"/>
      <c r="C9" t="s">
        <v>41</v>
      </c>
      <c r="E9" s="22"/>
    </row>
    <row r="10" spans="2:5" x14ac:dyDescent="0.25">
      <c r="B10" s="22"/>
      <c r="C10" t="s">
        <v>41</v>
      </c>
      <c r="E10" s="22"/>
    </row>
    <row r="11" spans="2:5" x14ac:dyDescent="0.25">
      <c r="B11" s="22"/>
      <c r="C11" t="s">
        <v>42</v>
      </c>
      <c r="E11" s="22"/>
    </row>
    <row r="12" spans="2:5" x14ac:dyDescent="0.25">
      <c r="B12" s="22"/>
      <c r="C12" t="s">
        <v>43</v>
      </c>
      <c r="E12" s="22"/>
    </row>
    <row r="13" spans="2:5" x14ac:dyDescent="0.25">
      <c r="B13" s="22"/>
      <c r="C13" t="s">
        <v>44</v>
      </c>
      <c r="E13" s="22"/>
    </row>
    <row r="14" spans="2:5" x14ac:dyDescent="0.25">
      <c r="B14" s="22"/>
      <c r="E14" s="22"/>
    </row>
    <row r="15" spans="2:5" x14ac:dyDescent="0.25">
      <c r="B15" s="22"/>
      <c r="C15" s="22"/>
      <c r="D15" s="22"/>
      <c r="E15" s="22"/>
    </row>
  </sheetData>
  <mergeCells count="1">
    <mergeCell ref="D3:D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20"/>
  <sheetViews>
    <sheetView workbookViewId="0">
      <selection activeCell="L14" sqref="L14"/>
    </sheetView>
  </sheetViews>
  <sheetFormatPr baseColWidth="10" defaultRowHeight="15" x14ac:dyDescent="0.25"/>
  <sheetData>
    <row r="4" spans="3:9" ht="15.75" x14ac:dyDescent="0.25">
      <c r="C4" s="1"/>
      <c r="D4" s="1"/>
      <c r="E4" s="1"/>
      <c r="F4" s="1"/>
      <c r="G4" s="1"/>
      <c r="H4" s="1"/>
      <c r="I4" s="1"/>
    </row>
    <row r="5" spans="3:9" x14ac:dyDescent="0.25">
      <c r="F5" s="52" t="s">
        <v>46</v>
      </c>
    </row>
    <row r="17" spans="3:9" x14ac:dyDescent="0.25">
      <c r="D17" s="53" t="s">
        <v>48</v>
      </c>
      <c r="H17" s="53" t="s">
        <v>47</v>
      </c>
    </row>
    <row r="19" spans="3:9" ht="15.75" x14ac:dyDescent="0.25">
      <c r="C19" s="1"/>
      <c r="D19" s="54" t="s">
        <v>49</v>
      </c>
      <c r="E19" s="1"/>
      <c r="F19" s="1"/>
      <c r="G19" s="1"/>
      <c r="H19" s="54" t="s">
        <v>49</v>
      </c>
      <c r="I19" s="1"/>
    </row>
    <row r="20" spans="3:9" ht="15.75" x14ac:dyDescent="0.25">
      <c r="C20" s="1"/>
      <c r="D20" s="1"/>
      <c r="E20" s="1"/>
      <c r="F20" s="1"/>
      <c r="G20" s="1"/>
      <c r="H20" s="1"/>
      <c r="I20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 Estudiantes</vt:lpstr>
      <vt:lpstr>Planilla Notas</vt:lpstr>
      <vt:lpstr>Informe estudiante</vt:lpstr>
      <vt:lpstr>ESQUEMA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User</cp:lastModifiedBy>
  <cp:lastPrinted>2012-10-29T02:26:38Z</cp:lastPrinted>
  <dcterms:created xsi:type="dcterms:W3CDTF">2012-10-28T21:45:19Z</dcterms:created>
  <dcterms:modified xsi:type="dcterms:W3CDTF">2015-05-13T00:35:13Z</dcterms:modified>
</cp:coreProperties>
</file>